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13"/>
  </bookViews>
  <sheets>
    <sheet name="PART-OCC-UNIR" sheetId="1" r:id="rId1"/>
    <sheet name="TAEj" sheetId="2" r:id="rId2"/>
    <sheet name="PART-OCC-NÚCLEOS-PVH" sheetId="3" r:id="rId3"/>
    <sheet name="QUADRO SÍNTESE" sheetId="4" r:id="rId4"/>
    <sheet name="%_TAEu+EQR+PART_POR_CAMPUS" sheetId="5" r:id="rId5"/>
    <sheet name="%_TAEu+EQR+PART_POR_NÚCLEO" sheetId="6" r:id="rId6"/>
    <sheet name="%_POR_CAMPUS" sheetId="7" r:id="rId7"/>
    <sheet name="%_POR_NÚCLEO" sheetId="8" r:id="rId8"/>
    <sheet name="Q. SÍNTESE COM FATOR DE COR." sheetId="9" r:id="rId9"/>
    <sheet name="Plan1" sheetId="10" r:id="rId10"/>
  </sheets>
  <definedNames>
    <definedName name="_xlnm.Print_Area" localSheetId="3">'QUADRO SÍNTESE'!$A$1:$AB$96</definedName>
  </definedNames>
  <calcPr calcId="145621" concurrentCalc="0"/>
</workbook>
</file>

<file path=xl/calcChain.xml><?xml version="1.0" encoding="utf-8"?>
<calcChain xmlns="http://schemas.openxmlformats.org/spreadsheetml/2006/main">
  <c r="L12" i="1" l="1"/>
  <c r="R12" i="1"/>
  <c r="G18" i="10"/>
  <c r="G16" i="10"/>
  <c r="G14" i="10"/>
  <c r="G12" i="10"/>
  <c r="G10" i="10"/>
  <c r="G8" i="10"/>
  <c r="G6" i="10"/>
  <c r="G4" i="10"/>
  <c r="D25" i="10"/>
  <c r="F18" i="10"/>
  <c r="F16" i="10"/>
  <c r="F14" i="10"/>
  <c r="F12" i="10"/>
  <c r="F10" i="10"/>
  <c r="F8" i="10"/>
  <c r="F6" i="10"/>
  <c r="F4" i="10"/>
  <c r="S12" i="1"/>
  <c r="S20" i="1"/>
  <c r="S221" i="1"/>
  <c r="S223" i="1"/>
  <c r="S25" i="1"/>
  <c r="S22" i="1"/>
  <c r="S226" i="1"/>
  <c r="S23" i="1"/>
  <c r="S24" i="1"/>
  <c r="S41" i="1"/>
  <c r="S42" i="1"/>
  <c r="S68" i="1"/>
  <c r="S69" i="1"/>
  <c r="S117" i="1"/>
  <c r="S118" i="1"/>
  <c r="S135" i="1"/>
  <c r="S136" i="1"/>
  <c r="S149" i="1"/>
  <c r="S150" i="1"/>
  <c r="S198" i="1"/>
  <c r="S199" i="1"/>
  <c r="S227" i="1"/>
  <c r="S26" i="1"/>
  <c r="S27" i="1"/>
  <c r="X4" i="4"/>
  <c r="T112" i="1"/>
  <c r="T113" i="1"/>
  <c r="T110" i="1"/>
  <c r="T108" i="1"/>
  <c r="S85" i="1"/>
  <c r="S225" i="1"/>
  <c r="S222" i="1"/>
  <c r="S38" i="1"/>
  <c r="S83" i="3"/>
  <c r="S69" i="3"/>
  <c r="S48" i="3"/>
  <c r="S33" i="3"/>
  <c r="S20" i="3"/>
  <c r="AA191" i="1"/>
  <c r="AB203" i="1"/>
  <c r="AB200" i="1"/>
  <c r="AB198" i="1"/>
  <c r="AB199" i="1"/>
  <c r="N36" i="9"/>
  <c r="N34" i="9"/>
  <c r="N32" i="9"/>
  <c r="N30" i="9"/>
  <c r="N28" i="9"/>
  <c r="T36" i="9"/>
  <c r="T34" i="9"/>
  <c r="T32" i="9"/>
  <c r="T30" i="9"/>
  <c r="T28" i="9"/>
  <c r="X36" i="4"/>
  <c r="X34" i="4"/>
  <c r="X32" i="4"/>
  <c r="X30" i="4"/>
  <c r="X28" i="4"/>
  <c r="W28" i="4"/>
  <c r="S36" i="4"/>
  <c r="S34" i="4"/>
  <c r="S32" i="4"/>
  <c r="S30" i="4"/>
  <c r="S28" i="4"/>
  <c r="S113" i="3"/>
  <c r="S100" i="3"/>
  <c r="S99" i="3"/>
  <c r="S98" i="3"/>
  <c r="S97" i="3"/>
  <c r="S96" i="3"/>
  <c r="S95" i="3"/>
  <c r="S94" i="3"/>
  <c r="S93" i="3"/>
  <c r="S92" i="3"/>
  <c r="S91" i="3"/>
  <c r="S90" i="3"/>
  <c r="P100" i="3"/>
  <c r="P99" i="3"/>
  <c r="P98" i="3"/>
  <c r="P97" i="3"/>
  <c r="P96" i="3"/>
  <c r="P95" i="3"/>
  <c r="P94" i="3"/>
  <c r="P93" i="3"/>
  <c r="P92" i="3"/>
  <c r="P91" i="3"/>
  <c r="P90" i="3"/>
  <c r="D72" i="3"/>
  <c r="D73" i="3"/>
  <c r="D74" i="3"/>
  <c r="D71" i="3"/>
  <c r="D51" i="3"/>
  <c r="D52" i="3"/>
  <c r="D53" i="3"/>
  <c r="D54" i="3"/>
  <c r="D55" i="3"/>
  <c r="D56" i="3"/>
  <c r="D57" i="3"/>
  <c r="D58" i="3"/>
  <c r="D59" i="3"/>
  <c r="D60" i="3"/>
  <c r="D50" i="3"/>
  <c r="D36" i="3"/>
  <c r="D37" i="3"/>
  <c r="D38" i="3"/>
  <c r="D39" i="3"/>
  <c r="D35" i="3"/>
  <c r="D23" i="3"/>
  <c r="D24" i="3"/>
  <c r="D22" i="3"/>
  <c r="D8" i="3"/>
  <c r="D9" i="3"/>
  <c r="D10" i="3"/>
  <c r="D11" i="3"/>
  <c r="D7" i="3"/>
  <c r="X72" i="3"/>
  <c r="X73" i="3"/>
  <c r="X74" i="3"/>
  <c r="X71" i="3"/>
  <c r="X51" i="3"/>
  <c r="X52" i="3"/>
  <c r="X53" i="3"/>
  <c r="X54" i="3"/>
  <c r="X55" i="3"/>
  <c r="X56" i="3"/>
  <c r="X57" i="3"/>
  <c r="X58" i="3"/>
  <c r="X59" i="3"/>
  <c r="X60" i="3"/>
  <c r="X50" i="3"/>
  <c r="X36" i="3"/>
  <c r="X37" i="3"/>
  <c r="X38" i="3"/>
  <c r="X39" i="3"/>
  <c r="X35" i="3"/>
  <c r="X23" i="3"/>
  <c r="X24" i="3"/>
  <c r="X22" i="3"/>
  <c r="X8" i="3"/>
  <c r="X9" i="3"/>
  <c r="X10" i="3"/>
  <c r="X11" i="3"/>
  <c r="X7" i="3"/>
  <c r="Z78" i="3"/>
  <c r="Y78" i="3"/>
  <c r="X78" i="3"/>
  <c r="T78" i="3"/>
  <c r="Z64" i="3"/>
  <c r="X64" i="3"/>
  <c r="T64" i="3"/>
  <c r="T43" i="3"/>
  <c r="Z28" i="3"/>
  <c r="Y28" i="3"/>
  <c r="X28" i="3"/>
  <c r="T28" i="3"/>
  <c r="Z15" i="3"/>
  <c r="Y15" i="3"/>
  <c r="X15" i="3"/>
  <c r="T15" i="3"/>
  <c r="Y197" i="1"/>
  <c r="X197" i="1"/>
  <c r="T197" i="1"/>
  <c r="S112" i="1"/>
  <c r="S109" i="1"/>
  <c r="S107" i="1"/>
  <c r="X148" i="1"/>
  <c r="T148" i="1"/>
  <c r="T134" i="1"/>
  <c r="T116" i="1"/>
  <c r="T87" i="1"/>
  <c r="S60" i="1"/>
  <c r="T67" i="1"/>
  <c r="Z197" i="1"/>
  <c r="Z148" i="1"/>
  <c r="Z134" i="1"/>
  <c r="Z116" i="1"/>
  <c r="Z87" i="1"/>
  <c r="Z67" i="1"/>
  <c r="S82" i="1"/>
  <c r="Y40" i="1"/>
  <c r="Z40" i="1"/>
  <c r="T40" i="1"/>
  <c r="S35" i="1"/>
  <c r="T22" i="1"/>
  <c r="Z22" i="1"/>
  <c r="Y22" i="1"/>
  <c r="L16" i="1"/>
  <c r="S16" i="1"/>
  <c r="P95" i="1"/>
  <c r="S95" i="1"/>
  <c r="S210" i="1"/>
  <c r="S209" i="1"/>
  <c r="S208" i="1"/>
  <c r="P210" i="1"/>
  <c r="P208" i="1"/>
  <c r="S207" i="1"/>
  <c r="L192" i="1"/>
  <c r="S192" i="1"/>
  <c r="L191" i="1"/>
  <c r="R190" i="1"/>
  <c r="S190" i="1"/>
  <c r="R189" i="1"/>
  <c r="R183" i="1"/>
  <c r="R181" i="1"/>
  <c r="R179" i="1"/>
  <c r="R177" i="1"/>
  <c r="R175" i="1"/>
  <c r="L175" i="1"/>
  <c r="R173" i="1"/>
  <c r="S173" i="1"/>
  <c r="R172" i="1"/>
  <c r="R171" i="1"/>
  <c r="R169" i="1"/>
  <c r="R168" i="1"/>
  <c r="L168" i="1"/>
  <c r="R165" i="1"/>
  <c r="R164" i="1"/>
  <c r="S164" i="1"/>
  <c r="R162" i="1"/>
  <c r="L162" i="1"/>
  <c r="R161" i="1"/>
  <c r="L161" i="1"/>
  <c r="R130" i="1"/>
  <c r="L130" i="1"/>
  <c r="R111" i="1"/>
  <c r="S111" i="1"/>
  <c r="R110" i="1"/>
  <c r="S110" i="1"/>
  <c r="R108" i="1"/>
  <c r="S108" i="1"/>
  <c r="R106" i="1"/>
  <c r="L105" i="1"/>
  <c r="R83" i="1"/>
  <c r="L80" i="1"/>
  <c r="R79" i="1"/>
  <c r="L79" i="1"/>
  <c r="R78" i="1"/>
  <c r="R63" i="1"/>
  <c r="S63" i="1"/>
  <c r="R62" i="1"/>
  <c r="L62" i="1"/>
  <c r="R59" i="1"/>
  <c r="R58" i="1"/>
  <c r="R36" i="1"/>
  <c r="L36" i="1"/>
  <c r="R17" i="1"/>
  <c r="L17" i="1"/>
  <c r="R14" i="1"/>
  <c r="S14" i="1"/>
  <c r="R15" i="1"/>
  <c r="S15" i="1"/>
  <c r="R13" i="1"/>
  <c r="S13" i="1"/>
  <c r="S17" i="1"/>
  <c r="P192" i="1"/>
  <c r="P82" i="1"/>
  <c r="P18" i="1"/>
  <c r="S18" i="1"/>
  <c r="S33" i="1"/>
  <c r="P34" i="1"/>
  <c r="S34" i="1"/>
  <c r="S36" i="1"/>
  <c r="P57" i="1"/>
  <c r="S57" i="1"/>
  <c r="P59" i="1"/>
  <c r="S59" i="1"/>
  <c r="P61" i="1"/>
  <c r="S61" i="1"/>
  <c r="S62" i="1"/>
  <c r="S78" i="1"/>
  <c r="P79" i="1"/>
  <c r="S79" i="1"/>
  <c r="P80" i="1"/>
  <c r="S80" i="1"/>
  <c r="P81" i="1"/>
  <c r="S81" i="1"/>
  <c r="S83" i="1"/>
  <c r="P105" i="1"/>
  <c r="S105" i="1"/>
  <c r="S106" i="1"/>
  <c r="P129" i="1"/>
  <c r="S129" i="1"/>
  <c r="P130" i="1"/>
  <c r="S130" i="1"/>
  <c r="P144" i="1"/>
  <c r="S144" i="1"/>
  <c r="S161" i="1"/>
  <c r="S162" i="1"/>
  <c r="P163" i="1"/>
  <c r="S163" i="1"/>
  <c r="S165" i="1"/>
  <c r="P167" i="1"/>
  <c r="S167" i="1"/>
  <c r="P168" i="1"/>
  <c r="S168" i="1"/>
  <c r="S169" i="1"/>
  <c r="S171" i="1"/>
  <c r="P172" i="1"/>
  <c r="S172" i="1"/>
  <c r="S174" i="1"/>
  <c r="S175" i="1"/>
  <c r="P177" i="1"/>
  <c r="S177" i="1"/>
  <c r="P178" i="1"/>
  <c r="S178" i="1"/>
  <c r="P179" i="1"/>
  <c r="S179" i="1"/>
  <c r="P180" i="1"/>
  <c r="S180" i="1"/>
  <c r="S181" i="1"/>
  <c r="S182" i="1"/>
  <c r="S183" i="1"/>
  <c r="S184" i="1"/>
  <c r="P185" i="1"/>
  <c r="S185" i="1"/>
  <c r="S186" i="1"/>
  <c r="P187" i="1"/>
  <c r="S187" i="1"/>
  <c r="S189" i="1"/>
  <c r="S191" i="1"/>
  <c r="S96" i="1"/>
  <c r="D50" i="9"/>
  <c r="C49" i="9"/>
  <c r="C48" i="9"/>
  <c r="U4" i="9"/>
  <c r="C46" i="9"/>
  <c r="C44" i="9"/>
  <c r="U6" i="9"/>
  <c r="C42" i="9"/>
  <c r="U16" i="9"/>
  <c r="S112" i="3"/>
  <c r="Z73" i="3"/>
  <c r="S101" i="3"/>
  <c r="S62" i="3"/>
  <c r="S13" i="3"/>
  <c r="S74" i="3"/>
  <c r="P74" i="3"/>
  <c r="S73" i="3"/>
  <c r="P73" i="3"/>
  <c r="S72" i="3"/>
  <c r="P72" i="3"/>
  <c r="S71" i="3"/>
  <c r="S75" i="3"/>
  <c r="P71" i="3"/>
  <c r="Y64" i="3"/>
  <c r="P60" i="3"/>
  <c r="S60" i="3"/>
  <c r="S59" i="3"/>
  <c r="P59" i="3"/>
  <c r="P58" i="3"/>
  <c r="S58" i="3"/>
  <c r="S57" i="3"/>
  <c r="P57" i="3"/>
  <c r="S56" i="3"/>
  <c r="P56" i="3"/>
  <c r="S55" i="3"/>
  <c r="P55" i="3"/>
  <c r="S54" i="3"/>
  <c r="P54" i="3"/>
  <c r="P53" i="3"/>
  <c r="S53" i="3"/>
  <c r="P52" i="3"/>
  <c r="S52" i="3"/>
  <c r="P51" i="3"/>
  <c r="S51" i="3"/>
  <c r="P50" i="3"/>
  <c r="S50" i="3"/>
  <c r="S61" i="3"/>
  <c r="Z43" i="3"/>
  <c r="Y43" i="3"/>
  <c r="X43" i="3"/>
  <c r="S39" i="3"/>
  <c r="P39" i="3"/>
  <c r="S38" i="3"/>
  <c r="P38" i="3"/>
  <c r="S37" i="3"/>
  <c r="P37" i="3"/>
  <c r="P36" i="3"/>
  <c r="S36" i="3"/>
  <c r="S35" i="3"/>
  <c r="P35" i="3"/>
  <c r="S24" i="3"/>
  <c r="P24" i="3"/>
  <c r="P23" i="3"/>
  <c r="S23" i="3"/>
  <c r="P22" i="3"/>
  <c r="S22" i="3"/>
  <c r="S11" i="3"/>
  <c r="P11" i="3"/>
  <c r="S10" i="3"/>
  <c r="P10" i="3"/>
  <c r="P9" i="3"/>
  <c r="S9" i="3"/>
  <c r="S8" i="3"/>
  <c r="P8" i="3"/>
  <c r="S7" i="3"/>
  <c r="S12" i="3"/>
  <c r="P7" i="3"/>
  <c r="Y207" i="1"/>
  <c r="S224" i="1"/>
  <c r="S217" i="1"/>
  <c r="P217" i="1"/>
  <c r="P216" i="1"/>
  <c r="S216" i="1"/>
  <c r="P215" i="1"/>
  <c r="S215" i="1"/>
  <c r="P214" i="1"/>
  <c r="S214" i="1"/>
  <c r="P213" i="1"/>
  <c r="S213" i="1"/>
  <c r="S212" i="1"/>
  <c r="P212" i="1"/>
  <c r="P211" i="1"/>
  <c r="S211" i="1"/>
  <c r="P209" i="1"/>
  <c r="P207" i="1"/>
  <c r="P191" i="1"/>
  <c r="P190" i="1"/>
  <c r="P189" i="1"/>
  <c r="P186" i="1"/>
  <c r="P184" i="1"/>
  <c r="P183" i="1"/>
  <c r="P182" i="1"/>
  <c r="P181" i="1"/>
  <c r="P175" i="1"/>
  <c r="P174" i="1"/>
  <c r="P173" i="1"/>
  <c r="P171" i="1"/>
  <c r="P169" i="1"/>
  <c r="P165" i="1"/>
  <c r="P164" i="1"/>
  <c r="P162" i="1"/>
  <c r="P161" i="1"/>
  <c r="Y148" i="1"/>
  <c r="Y134" i="1"/>
  <c r="X134" i="1"/>
  <c r="Y116" i="1"/>
  <c r="X116" i="1"/>
  <c r="P112" i="1"/>
  <c r="P111" i="1"/>
  <c r="P110" i="1"/>
  <c r="P109" i="1"/>
  <c r="P108" i="1"/>
  <c r="P107" i="1"/>
  <c r="P106" i="1"/>
  <c r="Y87" i="1"/>
  <c r="X87" i="1"/>
  <c r="P83" i="1"/>
  <c r="P78" i="1"/>
  <c r="Y67" i="1"/>
  <c r="X67" i="1"/>
  <c r="P63" i="1"/>
  <c r="P62" i="1"/>
  <c r="P60" i="1"/>
  <c r="P58" i="1"/>
  <c r="S58" i="1"/>
  <c r="X40" i="1"/>
  <c r="P36" i="1"/>
  <c r="P35" i="1"/>
  <c r="P33" i="1"/>
  <c r="X22" i="1"/>
  <c r="P17" i="1"/>
  <c r="P16" i="1"/>
  <c r="P15" i="1"/>
  <c r="P14" i="1"/>
  <c r="P13" i="1"/>
  <c r="P12" i="1"/>
  <c r="S40" i="3"/>
  <c r="T39" i="3"/>
  <c r="T54" i="3"/>
  <c r="R34" i="4"/>
  <c r="T60" i="3"/>
  <c r="T59" i="3"/>
  <c r="T58" i="3"/>
  <c r="T52" i="3"/>
  <c r="T56" i="3"/>
  <c r="S25" i="3"/>
  <c r="T22" i="3"/>
  <c r="T38" i="3"/>
  <c r="T37" i="3"/>
  <c r="T51" i="3"/>
  <c r="T53" i="3"/>
  <c r="T55" i="3"/>
  <c r="T57" i="3"/>
  <c r="R36" i="4"/>
  <c r="S76" i="3"/>
  <c r="S78" i="3"/>
  <c r="T74" i="3"/>
  <c r="T73" i="3"/>
  <c r="T72" i="3"/>
  <c r="T71" i="3"/>
  <c r="R28" i="4"/>
  <c r="T11" i="3"/>
  <c r="T10" i="3"/>
  <c r="T9" i="3"/>
  <c r="T8" i="3"/>
  <c r="T7" i="3"/>
  <c r="S109" i="3"/>
  <c r="T23" i="3"/>
  <c r="T36" i="3"/>
  <c r="T50" i="3"/>
  <c r="T35" i="3"/>
  <c r="T40" i="3"/>
  <c r="U12" i="9"/>
  <c r="U18" i="9"/>
  <c r="C43" i="9"/>
  <c r="C45" i="9"/>
  <c r="C47" i="9"/>
  <c r="T61" i="3"/>
  <c r="T12" i="3"/>
  <c r="U8" i="9"/>
  <c r="T75" i="3"/>
  <c r="R32" i="4"/>
  <c r="U10" i="9"/>
  <c r="U14" i="9"/>
  <c r="R30" i="4"/>
  <c r="S26" i="3"/>
  <c r="T24" i="3"/>
  <c r="T25" i="3"/>
  <c r="S28" i="3"/>
  <c r="Y90" i="3"/>
  <c r="Y94" i="3"/>
  <c r="Y100" i="3"/>
  <c r="Y93" i="3"/>
  <c r="Y99" i="3"/>
  <c r="Y92" i="3"/>
  <c r="Y96" i="3"/>
  <c r="Y91" i="3"/>
  <c r="Y95" i="3"/>
  <c r="T92" i="3"/>
  <c r="T96" i="3"/>
  <c r="T91" i="3"/>
  <c r="T95" i="3"/>
  <c r="T90" i="3"/>
  <c r="T94" i="3"/>
  <c r="T100" i="3"/>
  <c r="T99" i="3"/>
  <c r="T93" i="3"/>
  <c r="S110" i="3"/>
  <c r="S111" i="3"/>
  <c r="S67" i="3"/>
  <c r="S15" i="3"/>
  <c r="S64" i="3"/>
  <c r="S41" i="3"/>
  <c r="Z184" i="1"/>
  <c r="Z52" i="3"/>
  <c r="Z58" i="3"/>
  <c r="Z54" i="3"/>
  <c r="Z8" i="3"/>
  <c r="Z50" i="3"/>
  <c r="Z56" i="3"/>
  <c r="Z35" i="3"/>
  <c r="Z10" i="3"/>
  <c r="Z39" i="3"/>
  <c r="Z72" i="3"/>
  <c r="Z57" i="3"/>
  <c r="Z53" i="3"/>
  <c r="Z9" i="3"/>
  <c r="Z24" i="3"/>
  <c r="Z36" i="3"/>
  <c r="Z71" i="3"/>
  <c r="Z59" i="3"/>
  <c r="Z55" i="3"/>
  <c r="Z51" i="3"/>
  <c r="Z60" i="3"/>
  <c r="Z23" i="3"/>
  <c r="Z38" i="3"/>
  <c r="Z74" i="3"/>
  <c r="Z7" i="3"/>
  <c r="Z11" i="3"/>
  <c r="Z22" i="3"/>
  <c r="Z37" i="3"/>
  <c r="Z175" i="1"/>
  <c r="Z83" i="1"/>
  <c r="Z106" i="1"/>
  <c r="Z190" i="1"/>
  <c r="Z167" i="1"/>
  <c r="Z180" i="1"/>
  <c r="Z58" i="1"/>
  <c r="Z63" i="1"/>
  <c r="Z79" i="1"/>
  <c r="Z182" i="1"/>
  <c r="Z161" i="1"/>
  <c r="Z173" i="1"/>
  <c r="Z187" i="1"/>
  <c r="Z36" i="1"/>
  <c r="Y216" i="1"/>
  <c r="Y210" i="1"/>
  <c r="Y208" i="1"/>
  <c r="Z95" i="1"/>
  <c r="S97" i="1"/>
  <c r="Y211" i="1"/>
  <c r="Y209" i="1"/>
  <c r="Y213" i="1"/>
  <c r="Z192" i="1"/>
  <c r="Z61" i="1"/>
  <c r="Z111" i="1"/>
  <c r="Z35" i="1"/>
  <c r="Z14" i="1"/>
  <c r="Z34" i="1"/>
  <c r="Z57" i="1"/>
  <c r="Z62" i="1"/>
  <c r="Z81" i="1"/>
  <c r="Z105" i="1"/>
  <c r="Z107" i="1"/>
  <c r="Z129" i="1"/>
  <c r="Z162" i="1"/>
  <c r="Z172" i="1"/>
  <c r="Z174" i="1"/>
  <c r="Z178" i="1"/>
  <c r="Z181" i="1"/>
  <c r="Z183" i="1"/>
  <c r="Z189" i="1"/>
  <c r="Z191" i="1"/>
  <c r="Z12" i="1"/>
  <c r="Z18" i="1"/>
  <c r="Z33" i="1"/>
  <c r="Z60" i="1"/>
  <c r="Z78" i="1"/>
  <c r="Z130" i="1"/>
  <c r="Z163" i="1"/>
  <c r="Z165" i="1"/>
  <c r="Z169" i="1"/>
  <c r="Z179" i="1"/>
  <c r="Z186" i="1"/>
  <c r="Y215" i="1"/>
  <c r="Y217" i="1"/>
  <c r="Z16" i="1"/>
  <c r="Z59" i="1"/>
  <c r="Z80" i="1"/>
  <c r="Z109" i="1"/>
  <c r="Z144" i="1"/>
  <c r="S147" i="1"/>
  <c r="Z164" i="1"/>
  <c r="Z168" i="1"/>
  <c r="Z171" i="1"/>
  <c r="Z177" i="1"/>
  <c r="Z185" i="1"/>
  <c r="T145" i="1"/>
  <c r="S145" i="1"/>
  <c r="Y212" i="1"/>
  <c r="Y214" i="1"/>
  <c r="S218" i="1"/>
  <c r="S194" i="1"/>
  <c r="T144" i="1"/>
  <c r="S146" i="1"/>
  <c r="S131" i="1"/>
  <c r="S132" i="1"/>
  <c r="T129" i="1"/>
  <c r="S114" i="1"/>
  <c r="T105" i="1"/>
  <c r="S113" i="1"/>
  <c r="S84" i="1"/>
  <c r="R10" i="4"/>
  <c r="N10" i="9"/>
  <c r="S64" i="1"/>
  <c r="S65" i="1"/>
  <c r="T57" i="1"/>
  <c r="S37" i="1"/>
  <c r="S19" i="1"/>
  <c r="R4" i="4"/>
  <c r="N4" i="9"/>
  <c r="N20" i="9"/>
  <c r="S18" i="3"/>
  <c r="O28" i="9"/>
  <c r="B63" i="9"/>
  <c r="T76" i="3"/>
  <c r="T62" i="3"/>
  <c r="T13" i="3"/>
  <c r="S102" i="3"/>
  <c r="T41" i="3"/>
  <c r="S43" i="3"/>
  <c r="S114" i="3"/>
  <c r="S46" i="3"/>
  <c r="S86" i="4"/>
  <c r="T101" i="3"/>
  <c r="O34" i="9"/>
  <c r="E63" i="9"/>
  <c r="S92" i="4"/>
  <c r="S81" i="3"/>
  <c r="S31" i="3"/>
  <c r="T26" i="3"/>
  <c r="T80" i="1"/>
  <c r="T82" i="1"/>
  <c r="S77" i="3"/>
  <c r="S63" i="3"/>
  <c r="S42" i="3"/>
  <c r="S14" i="3"/>
  <c r="S27" i="3"/>
  <c r="S21" i="1"/>
  <c r="S115" i="1"/>
  <c r="S196" i="1"/>
  <c r="T17" i="1"/>
  <c r="T15" i="1"/>
  <c r="T18" i="1"/>
  <c r="T13" i="1"/>
  <c r="S86" i="1"/>
  <c r="T192" i="1"/>
  <c r="S219" i="1"/>
  <c r="S39" i="1"/>
  <c r="S66" i="1"/>
  <c r="S133" i="1"/>
  <c r="T214" i="1"/>
  <c r="T210" i="1"/>
  <c r="T208" i="1"/>
  <c r="T213" i="1"/>
  <c r="T216" i="1"/>
  <c r="T215" i="1"/>
  <c r="T207" i="1"/>
  <c r="T212" i="1"/>
  <c r="T211" i="1"/>
  <c r="T209" i="1"/>
  <c r="T217" i="1"/>
  <c r="R21" i="4"/>
  <c r="N21" i="9"/>
  <c r="N22" i="9"/>
  <c r="B7" i="2"/>
  <c r="T184" i="1"/>
  <c r="T165" i="1"/>
  <c r="T185" i="1"/>
  <c r="T173" i="1"/>
  <c r="T187" i="1"/>
  <c r="T169" i="1"/>
  <c r="T191" i="1"/>
  <c r="T175" i="1"/>
  <c r="T179" i="1"/>
  <c r="T182" i="1"/>
  <c r="T181" i="1"/>
  <c r="T167" i="1"/>
  <c r="T189" i="1"/>
  <c r="T171" i="1"/>
  <c r="T174" i="1"/>
  <c r="T190" i="1"/>
  <c r="T186" i="1"/>
  <c r="T168" i="1"/>
  <c r="S195" i="1"/>
  <c r="T163" i="1"/>
  <c r="T172" i="1"/>
  <c r="T180" i="1"/>
  <c r="T161" i="1"/>
  <c r="T183" i="1"/>
  <c r="T164" i="1"/>
  <c r="T177" i="1"/>
  <c r="T178" i="1"/>
  <c r="T162" i="1"/>
  <c r="R16" i="4"/>
  <c r="N16" i="9"/>
  <c r="S148" i="1"/>
  <c r="R14" i="4"/>
  <c r="N14" i="9"/>
  <c r="T130" i="1"/>
  <c r="S134" i="1"/>
  <c r="T131" i="1"/>
  <c r="T107" i="1"/>
  <c r="S116" i="1"/>
  <c r="T111" i="1"/>
  <c r="R12" i="4"/>
  <c r="N12" i="9"/>
  <c r="T109" i="1"/>
  <c r="T106" i="1"/>
  <c r="T78" i="1"/>
  <c r="T79" i="1"/>
  <c r="T83" i="1"/>
  <c r="T81" i="1"/>
  <c r="T95" i="1"/>
  <c r="T96" i="1"/>
  <c r="T64" i="1"/>
  <c r="R8" i="4"/>
  <c r="N8" i="9"/>
  <c r="T63" i="1"/>
  <c r="T59" i="1"/>
  <c r="T61" i="1"/>
  <c r="S67" i="1"/>
  <c r="T62" i="1"/>
  <c r="T58" i="1"/>
  <c r="T60" i="1"/>
  <c r="T35" i="1"/>
  <c r="T33" i="1"/>
  <c r="T36" i="1"/>
  <c r="T37" i="1"/>
  <c r="T34" i="1"/>
  <c r="S40" i="1"/>
  <c r="R6" i="4"/>
  <c r="N6" i="9"/>
  <c r="T14" i="1"/>
  <c r="T12" i="1"/>
  <c r="T16" i="1"/>
  <c r="R20" i="4"/>
  <c r="S151" i="1"/>
  <c r="B5" i="2"/>
  <c r="S29" i="3"/>
  <c r="S30" i="3"/>
  <c r="S79" i="3"/>
  <c r="S80" i="3"/>
  <c r="S65" i="3"/>
  <c r="S66" i="3"/>
  <c r="S44" i="3"/>
  <c r="S45" i="3"/>
  <c r="S16" i="3"/>
  <c r="O32" i="9"/>
  <c r="D63" i="9"/>
  <c r="S90" i="4"/>
  <c r="S88" i="4"/>
  <c r="O30" i="9"/>
  <c r="C63" i="9"/>
  <c r="S94" i="4"/>
  <c r="O36" i="9"/>
  <c r="F63" i="9"/>
  <c r="S17" i="3"/>
  <c r="R22" i="4"/>
  <c r="B20" i="2"/>
  <c r="T20" i="1"/>
  <c r="S4" i="4"/>
  <c r="O4" i="9"/>
  <c r="B56" i="9"/>
  <c r="T194" i="1"/>
  <c r="R18" i="4"/>
  <c r="N18" i="9"/>
  <c r="S197" i="1"/>
  <c r="T84" i="1"/>
  <c r="T19" i="1"/>
  <c r="S90" i="1"/>
  <c r="S43" i="1"/>
  <c r="S70" i="1"/>
  <c r="S119" i="1"/>
  <c r="S137" i="1"/>
  <c r="S200" i="1"/>
  <c r="R64" i="4"/>
  <c r="V64" i="4"/>
  <c r="S115" i="3"/>
  <c r="S19" i="3"/>
  <c r="X64" i="4"/>
  <c r="R80" i="4"/>
  <c r="W64" i="4"/>
  <c r="T218" i="1"/>
  <c r="T114" i="1"/>
  <c r="S12" i="4"/>
  <c r="O12" i="9"/>
  <c r="F56" i="9"/>
  <c r="T195" i="1"/>
  <c r="S18" i="4"/>
  <c r="O18" i="9"/>
  <c r="I56" i="9"/>
  <c r="T132" i="1"/>
  <c r="S14" i="4"/>
  <c r="O14" i="9"/>
  <c r="G56" i="9"/>
  <c r="T65" i="1"/>
  <c r="S8" i="4"/>
  <c r="O8" i="9"/>
  <c r="D56" i="9"/>
  <c r="T85" i="1"/>
  <c r="S10" i="4"/>
  <c r="O10" i="9"/>
  <c r="E56" i="9"/>
  <c r="T38" i="1"/>
  <c r="S6" i="4"/>
  <c r="O6" i="9"/>
  <c r="C56" i="9"/>
  <c r="T146" i="1"/>
  <c r="S16" i="4"/>
  <c r="O16" i="9"/>
  <c r="H56" i="9"/>
  <c r="R70" i="4"/>
  <c r="W70" i="4"/>
  <c r="R66" i="4"/>
  <c r="W66" i="4"/>
  <c r="R74" i="4"/>
  <c r="W74" i="4"/>
  <c r="R76" i="4"/>
  <c r="V76" i="4"/>
  <c r="R68" i="4"/>
  <c r="V68" i="4"/>
  <c r="R78" i="4"/>
  <c r="X78" i="4"/>
  <c r="X95" i="4"/>
  <c r="X88" i="4"/>
  <c r="R72" i="4"/>
  <c r="V72" i="4"/>
  <c r="S68" i="3"/>
  <c r="S34" i="9"/>
  <c r="S47" i="3"/>
  <c r="S32" i="9"/>
  <c r="S82" i="3"/>
  <c r="S36" i="9"/>
  <c r="S28" i="9"/>
  <c r="S32" i="3"/>
  <c r="W30" i="4"/>
  <c r="X68" i="4"/>
  <c r="W68" i="4"/>
  <c r="X66" i="4"/>
  <c r="V74" i="4"/>
  <c r="V70" i="4"/>
  <c r="X70" i="4"/>
  <c r="W78" i="4"/>
  <c r="W95" i="4"/>
  <c r="W92" i="4"/>
  <c r="S91" i="1"/>
  <c r="X92" i="4"/>
  <c r="X86" i="4"/>
  <c r="X90" i="4"/>
  <c r="X94" i="4"/>
  <c r="W76" i="4"/>
  <c r="S10" i="9"/>
  <c r="E57" i="9"/>
  <c r="S92" i="1"/>
  <c r="W72" i="4"/>
  <c r="X72" i="4"/>
  <c r="V78" i="4"/>
  <c r="V95" i="4"/>
  <c r="V92" i="4"/>
  <c r="X74" i="4"/>
  <c r="X76" i="4"/>
  <c r="V66" i="4"/>
  <c r="S30" i="9"/>
  <c r="W32" i="4"/>
  <c r="B64" i="9"/>
  <c r="W36" i="4"/>
  <c r="W34" i="4"/>
  <c r="C64" i="9"/>
  <c r="F64" i="9"/>
  <c r="E64" i="9"/>
  <c r="D64" i="9"/>
  <c r="B65" i="9"/>
  <c r="V28" i="9"/>
  <c r="V86" i="4"/>
  <c r="V94" i="4"/>
  <c r="W94" i="4"/>
  <c r="V88" i="4"/>
  <c r="V90" i="4"/>
  <c r="W86" i="4"/>
  <c r="W88" i="4"/>
  <c r="W90" i="4"/>
  <c r="S71" i="1"/>
  <c r="S138" i="1"/>
  <c r="S120" i="1"/>
  <c r="W10" i="4"/>
  <c r="S44" i="1"/>
  <c r="S201" i="1"/>
  <c r="S152" i="1"/>
  <c r="W6" i="4"/>
  <c r="S45" i="1"/>
  <c r="S16" i="9"/>
  <c r="H57" i="9"/>
  <c r="S153" i="1"/>
  <c r="W8" i="4"/>
  <c r="S72" i="1"/>
  <c r="W12" i="4"/>
  <c r="S121" i="1"/>
  <c r="W18" i="4"/>
  <c r="S202" i="1"/>
  <c r="S14" i="9"/>
  <c r="G57" i="9"/>
  <c r="S139" i="1"/>
  <c r="T10" i="9"/>
  <c r="E58" i="9"/>
  <c r="X10" i="4"/>
  <c r="Y10" i="4"/>
  <c r="T4" i="9"/>
  <c r="V34" i="9"/>
  <c r="E65" i="9"/>
  <c r="V30" i="9"/>
  <c r="C65" i="9"/>
  <c r="V32" i="9"/>
  <c r="D65" i="9"/>
  <c r="F65" i="9"/>
  <c r="V36" i="9"/>
  <c r="S8" i="9"/>
  <c r="S18" i="9"/>
  <c r="I57" i="9"/>
  <c r="S6" i="9"/>
  <c r="W14" i="4"/>
  <c r="W4" i="4"/>
  <c r="W16" i="4"/>
  <c r="S4" i="9"/>
  <c r="B57" i="9"/>
  <c r="S12" i="9"/>
  <c r="V10" i="9"/>
  <c r="AA10" i="4"/>
  <c r="Z10" i="4"/>
  <c r="Y4" i="4"/>
  <c r="T12" i="9"/>
  <c r="X12" i="4"/>
  <c r="T6" i="9"/>
  <c r="C58" i="9"/>
  <c r="X6" i="4"/>
  <c r="T18" i="9"/>
  <c r="I58" i="9"/>
  <c r="X18" i="4"/>
  <c r="T14" i="9"/>
  <c r="G58" i="9"/>
  <c r="X14" i="4"/>
  <c r="AA14" i="4"/>
  <c r="T16" i="9"/>
  <c r="H58" i="9"/>
  <c r="X16" i="4"/>
  <c r="AA16" i="4"/>
  <c r="X8" i="4"/>
  <c r="T8" i="9"/>
  <c r="V8" i="9"/>
  <c r="D57" i="9"/>
  <c r="C57" i="9"/>
  <c r="AA4" i="4"/>
  <c r="Z4" i="4"/>
  <c r="F57" i="9"/>
  <c r="B58" i="9"/>
  <c r="V14" i="9"/>
  <c r="Y14" i="4"/>
  <c r="D58" i="9"/>
  <c r="V16" i="9"/>
  <c r="V6" i="9"/>
  <c r="Y16" i="4"/>
  <c r="Z16" i="4"/>
  <c r="Y8" i="4"/>
  <c r="AA8" i="4"/>
  <c r="Z8" i="4"/>
  <c r="Z18" i="4"/>
  <c r="Z37" i="4"/>
  <c r="Y18" i="4"/>
  <c r="Y37" i="4"/>
  <c r="AA18" i="4"/>
  <c r="AA37" i="4"/>
  <c r="Z14" i="4"/>
  <c r="AA12" i="4"/>
  <c r="Y12" i="4"/>
  <c r="Z12" i="4"/>
  <c r="Y6" i="4"/>
  <c r="AA6" i="4"/>
  <c r="Z6" i="4"/>
  <c r="V18" i="9"/>
  <c r="T19" i="9"/>
  <c r="F58" i="9"/>
  <c r="V12" i="9"/>
  <c r="V4" i="9"/>
  <c r="Y36" i="4"/>
  <c r="Y32" i="4"/>
  <c r="Y28" i="4"/>
  <c r="Y34" i="4"/>
  <c r="Y30" i="4"/>
  <c r="Z30" i="4"/>
  <c r="Z28" i="4"/>
  <c r="Z36" i="4"/>
  <c r="Z32" i="4"/>
  <c r="Z34" i="4"/>
  <c r="AA34" i="4"/>
  <c r="AA30" i="4"/>
  <c r="AA28" i="4"/>
  <c r="AA36" i="4"/>
  <c r="AA32" i="4"/>
  <c r="V19" i="9"/>
  <c r="X23" i="9"/>
  <c r="O42" i="9"/>
  <c r="W12" i="9"/>
  <c r="O48" i="9"/>
  <c r="O47" i="9"/>
  <c r="O46" i="9"/>
  <c r="W16" i="9"/>
  <c r="W14" i="9"/>
  <c r="W8" i="9"/>
  <c r="O44" i="9"/>
  <c r="O43" i="9"/>
  <c r="O49" i="9"/>
  <c r="W10" i="9"/>
  <c r="W4" i="9"/>
  <c r="W6" i="9"/>
  <c r="W23" i="9"/>
  <c r="O45" i="9"/>
  <c r="W18" i="9"/>
  <c r="O50" i="9"/>
  <c r="X10" i="9"/>
  <c r="Y10" i="9"/>
  <c r="X12" i="9"/>
  <c r="Y12" i="9"/>
  <c r="X14" i="9"/>
  <c r="Y14" i="9"/>
  <c r="X16" i="9"/>
  <c r="Y16" i="9"/>
  <c r="X4" i="9"/>
  <c r="Y4" i="9"/>
  <c r="X6" i="9"/>
  <c r="Y6" i="9"/>
  <c r="X8" i="9"/>
  <c r="Y8" i="9"/>
  <c r="X18" i="9"/>
  <c r="W37" i="9"/>
  <c r="Y18" i="9"/>
  <c r="Y19" i="9"/>
  <c r="W32" i="9"/>
  <c r="W28" i="9"/>
  <c r="W36" i="9"/>
  <c r="W30" i="9"/>
  <c r="W34" i="9"/>
</calcChain>
</file>

<file path=xl/sharedStrings.xml><?xml version="1.0" encoding="utf-8"?>
<sst xmlns="http://schemas.openxmlformats.org/spreadsheetml/2006/main" count="976" uniqueCount="440">
  <si>
    <t>Fundação Universidade Federal de Rondônia</t>
  </si>
  <si>
    <t>1 - Ensino Presencial</t>
  </si>
  <si>
    <t>1.1 - CAMPUS DE CACOAL (Cacoal - RO)</t>
  </si>
  <si>
    <t>1.1.1 - Graduação</t>
  </si>
  <si>
    <t>Curso</t>
  </si>
  <si>
    <t>Nome</t>
  </si>
  <si>
    <t>Turno</t>
  </si>
  <si>
    <t>Ofertas</t>
  </si>
  <si>
    <t>Ingres.</t>
  </si>
  <si>
    <t>Matric. Sem_01</t>
  </si>
  <si>
    <t>Matric. Sem_02</t>
  </si>
  <si>
    <t>Matric. Média</t>
  </si>
  <si>
    <t>Conc.</t>
  </si>
  <si>
    <t>TAEG</t>
  </si>
  <si>
    <t>% TAE</t>
  </si>
  <si>
    <t>CPC</t>
  </si>
  <si>
    <t>sem cpc</t>
  </si>
  <si>
    <t>FCG</t>
  </si>
  <si>
    <t>16008</t>
  </si>
  <si>
    <t>ADMINISTRAÇÃO (VESPERTINO) - CACOAL</t>
  </si>
  <si>
    <t>V</t>
  </si>
  <si>
    <t>ADMINISTRAÇÃO - CACOAL</t>
  </si>
  <si>
    <t>N</t>
  </si>
  <si>
    <t>16000</t>
  </si>
  <si>
    <t>16012</t>
  </si>
  <si>
    <t>DIREITO (VESPERTINO) - CACOAL</t>
  </si>
  <si>
    <t>DIREITO - CACOAL</t>
  </si>
  <si>
    <t>1106843</t>
  </si>
  <si>
    <t>Engenharia de Produção Agroindustrial</t>
  </si>
  <si>
    <t>I</t>
  </si>
  <si>
    <t>TAEG - CACOAL</t>
  </si>
  <si>
    <t>TAE - CACOAL</t>
  </si>
  <si>
    <t>DQG - CACOAL</t>
  </si>
  <si>
    <t>DE</t>
  </si>
  <si>
    <t>T-40</t>
  </si>
  <si>
    <t>T-20</t>
  </si>
  <si>
    <t>SUBST</t>
  </si>
  <si>
    <t>RAP - CACOAL</t>
  </si>
  <si>
    <t>DEAE - CACOAL</t>
  </si>
  <si>
    <t>DEQ - CACOAL</t>
  </si>
  <si>
    <t>PTAE - CACOAL</t>
  </si>
  <si>
    <t>EQR - CACOAL</t>
  </si>
  <si>
    <t>PART - CACOAL</t>
  </si>
  <si>
    <t>1.2 - CAMPUS DE GUAJARÁ - MIRIM (Guajará-Mirim - RO)</t>
  </si>
  <si>
    <t>1.2.1 - Graduação</t>
  </si>
  <si>
    <t>ADMINISTRAÇÃO - G_MIRIM</t>
  </si>
  <si>
    <t>122760</t>
  </si>
  <si>
    <t>GESTÃO AMBIENTAL</t>
  </si>
  <si>
    <t>M</t>
  </si>
  <si>
    <t>16003</t>
  </si>
  <si>
    <t>LETRAS - G_MIRIM</t>
  </si>
  <si>
    <t>16007</t>
  </si>
  <si>
    <t>PEDAGOGIA - G_MIRIM</t>
  </si>
  <si>
    <t>TAEG - GUAJARÁ-MIRIM</t>
  </si>
  <si>
    <t>TAE - GUAJARÁ-MIRIM</t>
  </si>
  <si>
    <t>DQG - GUAJARÁ-MIRIM</t>
  </si>
  <si>
    <t>RAP - GUAJARÁ-MIRIM</t>
  </si>
  <si>
    <t>DEAE - GUAJARÁ-MIRIM</t>
  </si>
  <si>
    <t>DEQ - GUAJARÁ-MIRIM</t>
  </si>
  <si>
    <t>PTAE - GUAJARÁ-MIRIM</t>
  </si>
  <si>
    <t>EQR - GUAJARÁ-MIRIM</t>
  </si>
  <si>
    <t>PART - GUAJARÁ-MIRIM</t>
  </si>
  <si>
    <t>1.2.2 - Pós-Graduação</t>
  </si>
  <si>
    <t>TAEM</t>
  </si>
  <si>
    <t>C/capes</t>
  </si>
  <si>
    <t>FQM</t>
  </si>
  <si>
    <t>x</t>
  </si>
  <si>
    <t>1.3 - CAMPUS DE JI-PARANÁ (Ji-Paraná - RO)</t>
  </si>
  <si>
    <t>1.3.1 - Graduação</t>
  </si>
  <si>
    <t>116738</t>
  </si>
  <si>
    <t>EDUCAÇÃO BÁSICA INTERCULTURAL</t>
  </si>
  <si>
    <t>100719</t>
  </si>
  <si>
    <t>ENGENHARIA AMBIENTAL - JIPA</t>
  </si>
  <si>
    <t>cc</t>
  </si>
  <si>
    <t>116746</t>
  </si>
  <si>
    <t>ESTATISTICA - JIPA</t>
  </si>
  <si>
    <t>16011</t>
  </si>
  <si>
    <t>FÍSICA - JIPA</t>
  </si>
  <si>
    <t>FÍSICA - JIPA BACHARELADO</t>
  </si>
  <si>
    <t>16010</t>
  </si>
  <si>
    <t>MATEMÁTICA - JIPA</t>
  </si>
  <si>
    <t>16002</t>
  </si>
  <si>
    <t>PEDAGOGIA - JIPA</t>
  </si>
  <si>
    <t>TAEG - JI-PARANÁ</t>
  </si>
  <si>
    <t>TAE - JI-PARANÁ</t>
  </si>
  <si>
    <t>DQG - JI-PARANÁ</t>
  </si>
  <si>
    <t>RAP - JI-PARANÁ</t>
  </si>
  <si>
    <t>DEAE - JI-PARANÁ</t>
  </si>
  <si>
    <t>DEQ - JI-PARANÁ</t>
  </si>
  <si>
    <t>PTAE - JI-PARANÁ</t>
  </si>
  <si>
    <t>EQR - JI-PARANÁ</t>
  </si>
  <si>
    <t>PART - JI-PARANÁ</t>
  </si>
  <si>
    <t>1.4 - CAMPUS DE ROLIM DE MOURA (Rolim de Moura - RO)</t>
  </si>
  <si>
    <t>1.4.1 - Graduação</t>
  </si>
  <si>
    <t>58075</t>
  </si>
  <si>
    <t>ENGENHARIA AGRONÔMICA - R_MOURA</t>
  </si>
  <si>
    <t>116734</t>
  </si>
  <si>
    <t>ENGENHARIA FLORESTAL</t>
  </si>
  <si>
    <t>122758</t>
  </si>
  <si>
    <t>HISTÓRIA</t>
  </si>
  <si>
    <t>150273</t>
  </si>
  <si>
    <t>MEDICINA VETERINÁRIA</t>
  </si>
  <si>
    <t>PEDAGOGIA - R_MOURA</t>
  </si>
  <si>
    <t>TAEG - ROLIM DE MOURA</t>
  </si>
  <si>
    <t>TAE - ROLIM DE MOURA</t>
  </si>
  <si>
    <t>DQG - ROLIM DE MOURA</t>
  </si>
  <si>
    <t>RAP - ROLIM DE MOURA</t>
  </si>
  <si>
    <t>DEAE - ROLIM DE MOURA</t>
  </si>
  <si>
    <t>DEQ - ROLIM DE MOURA</t>
  </si>
  <si>
    <t>PTAE - ROLIM DE MOURA</t>
  </si>
  <si>
    <t>EQR - ROLIM DE MOURA</t>
  </si>
  <si>
    <t>PART - ROLIM DE MOURA</t>
  </si>
  <si>
    <t>10001018017M9</t>
  </si>
  <si>
    <t>CIÊNCIAS AMBIENTAIS</t>
  </si>
  <si>
    <t>TAEM - ROLIM DE MOURA</t>
  </si>
  <si>
    <t>DQM - ROLIM DE MOURA</t>
  </si>
  <si>
    <t>1.5 - CAMPUS DE VILHENA (Vilhena - RO)</t>
  </si>
  <si>
    <t>1.5.1 - Graduação</t>
  </si>
  <si>
    <t>122752</t>
  </si>
  <si>
    <t>ADMINISTRAÇÃO</t>
  </si>
  <si>
    <t>16016</t>
  </si>
  <si>
    <t>CIÊNCIAS CONTABEIS - VILHENA</t>
  </si>
  <si>
    <t>58084</t>
  </si>
  <si>
    <t>JORNALISMO (MATUTINO)- VILHENA</t>
  </si>
  <si>
    <t>JORNALISMO (NOTURNO) - VILHENA</t>
  </si>
  <si>
    <t>16004</t>
  </si>
  <si>
    <t>LETRAS (MATUTINO) - VILHENA</t>
  </si>
  <si>
    <t>LETRAS (NOTURNO) - VILHENA</t>
  </si>
  <si>
    <t>44076</t>
  </si>
  <si>
    <t>PEDAGOGIA (MATUTINO) - VILHENA</t>
  </si>
  <si>
    <t>PEDAGOGIA (NOTURNO) - VILHENA</t>
  </si>
  <si>
    <t>TAEG - VILHENA</t>
  </si>
  <si>
    <t>TAE - VILHENA</t>
  </si>
  <si>
    <t>DQG - VILHENA</t>
  </si>
  <si>
    <t>RAP - VILHENA</t>
  </si>
  <si>
    <t>DEAE - VILHENA</t>
  </si>
  <si>
    <t>DEQ - VILHENA</t>
  </si>
  <si>
    <t>PTAE - VILHENA</t>
  </si>
  <si>
    <t>EQR - VILHENA</t>
  </si>
  <si>
    <t>PART - VILHENA</t>
  </si>
  <si>
    <t>1.6 - Campus de Ariquemes (Ariquemes - RO)</t>
  </si>
  <si>
    <t>1.6.1 - Graduação</t>
  </si>
  <si>
    <t>116776</t>
  </si>
  <si>
    <t>ENGENHARIA DE ALIMENTOS</t>
  </si>
  <si>
    <t>116782</t>
  </si>
  <si>
    <t>PEDAGOGIA</t>
  </si>
  <si>
    <t>TAEG - ARIQUEMES</t>
  </si>
  <si>
    <t>TAE - ARIQUEMES</t>
  </si>
  <si>
    <t>DQG - ARIQUEMES</t>
  </si>
  <si>
    <t>RAP - ARIQUEMES</t>
  </si>
  <si>
    <t>DEAE - ARIQUEMES</t>
  </si>
  <si>
    <t>DEQ - ARIQUEMES</t>
  </si>
  <si>
    <t>PTAE - ARIQUEMES</t>
  </si>
  <si>
    <t>EQR - ARIQUEMES</t>
  </si>
  <si>
    <t>PART - ARIQUEMES</t>
  </si>
  <si>
    <t>1.7C - Campus de Presidente Médice (Presidente Médice - RO)</t>
  </si>
  <si>
    <t>1.7C.1 - Graduação</t>
  </si>
  <si>
    <t>ENGENHARIA DE PESCA E AQUICULTURA</t>
  </si>
  <si>
    <t>TAEG - PRESIDENTE MÉDICE</t>
  </si>
  <si>
    <t>TAE - PRESIDENTE MÉDICE</t>
  </si>
  <si>
    <t>DQG - PRESIDENTE MÉDICE</t>
  </si>
  <si>
    <t>RAP - PRESIDENTE MÉDICE</t>
  </si>
  <si>
    <t>DEAE - PRESIDENTE MÉDICE</t>
  </si>
  <si>
    <t>DEQ - PRESIDENTE MÉDICE</t>
  </si>
  <si>
    <t>PTAE - PRESIDENTE MÉDICE</t>
  </si>
  <si>
    <t>EQR - PRESIDENTE MÉDICE</t>
  </si>
  <si>
    <t>PART - PRESIDENTE MÉDICE</t>
  </si>
  <si>
    <t>1.7 - ENGENHEIRO JOSÉ RIBEIRO FILHO - PORTO VELHO (Porto Velho - RO)</t>
  </si>
  <si>
    <t>1.7.1 - Graduação</t>
  </si>
  <si>
    <t>NÚCLEO DE CIÊNCIAS SOCIAIS APLICADAS</t>
  </si>
  <si>
    <t>15988</t>
  </si>
  <si>
    <t>15989</t>
  </si>
  <si>
    <t>CIÊNCIAS CONTABEIS</t>
  </si>
  <si>
    <t>116718</t>
  </si>
  <si>
    <t>BIBLIOTECONOMIA</t>
  </si>
  <si>
    <t>15987</t>
  </si>
  <si>
    <t>CIÊNCIAS ECONÔMICAS</t>
  </si>
  <si>
    <t>15995</t>
  </si>
  <si>
    <t>DIREITO</t>
  </si>
  <si>
    <t>NÚCLEO DE TECNOLOGIA</t>
  </si>
  <si>
    <t>116727</t>
  </si>
  <si>
    <t>ENGENHARIA CIVIL</t>
  </si>
  <si>
    <t>100292</t>
  </si>
  <si>
    <t>ENGENHARIA ELÉTRICA</t>
  </si>
  <si>
    <t>318882</t>
  </si>
  <si>
    <t>INFORMÁTICA</t>
  </si>
  <si>
    <t>NÚCLEO DE CIÊNCIAS EXATAS E DA TERRA</t>
  </si>
  <si>
    <t>318363</t>
  </si>
  <si>
    <t>CIÊNCIAS BIOLÓGICAS</t>
  </si>
  <si>
    <t>100289</t>
  </si>
  <si>
    <t>FÍSICA</t>
  </si>
  <si>
    <t>15994</t>
  </si>
  <si>
    <t>GEOGRAFIA</t>
  </si>
  <si>
    <t>16009</t>
  </si>
  <si>
    <t>MATEMÁTICA</t>
  </si>
  <si>
    <t>58082</t>
  </si>
  <si>
    <t>QUIMICA</t>
  </si>
  <si>
    <t>NÚCLEO DE CIÊNCIAS HUMANAS</t>
  </si>
  <si>
    <t>116712</t>
  </si>
  <si>
    <t>ARQUEOLOGIA</t>
  </si>
  <si>
    <t>123567</t>
  </si>
  <si>
    <t>ARTES VISUAIS</t>
  </si>
  <si>
    <t>85458</t>
  </si>
  <si>
    <t>CIÊNCIAS SOCIAIS</t>
  </si>
  <si>
    <t>FILOSOFIA</t>
  </si>
  <si>
    <t>15992</t>
  </si>
  <si>
    <t>20940</t>
  </si>
  <si>
    <t>LETRAS/ESPANHOL</t>
  </si>
  <si>
    <t>20941</t>
  </si>
  <si>
    <t>LETRAS/INGLÊS</t>
  </si>
  <si>
    <t>LETRAS/PORTUGUÊS</t>
  </si>
  <si>
    <t>123553</t>
  </si>
  <si>
    <t>MÚSICA</t>
  </si>
  <si>
    <t>123584</t>
  </si>
  <si>
    <t>TEATRO</t>
  </si>
  <si>
    <t>NÚCLEO DE SAÚDE</t>
  </si>
  <si>
    <t>15990</t>
  </si>
  <si>
    <t>EDUCAÇÃO FISICA</t>
  </si>
  <si>
    <t>15998</t>
  </si>
  <si>
    <t>ENFERMAGEM</t>
  </si>
  <si>
    <t>51699</t>
  </si>
  <si>
    <t>MEDICINA</t>
  </si>
  <si>
    <t>PSICOLOGIA</t>
  </si>
  <si>
    <t>TAEG - PORTO VELHO</t>
  </si>
  <si>
    <t>TAE - PORTO VELHO</t>
  </si>
  <si>
    <t>DQG - PORTO VELHO</t>
  </si>
  <si>
    <t>RAP - PORTO VELHO</t>
  </si>
  <si>
    <t>DEAE - PORTO VELHO</t>
  </si>
  <si>
    <t>DEQ - PORTO VELHO</t>
  </si>
  <si>
    <t>PTAE - PORTO VELHO</t>
  </si>
  <si>
    <t>EQR - PORTO VELHO</t>
  </si>
  <si>
    <t>PART - PORTO VELHO</t>
  </si>
  <si>
    <t>1.7.2 - Pós-Graduação</t>
  </si>
  <si>
    <t>C.CAPES</t>
  </si>
  <si>
    <t>10001018006P7</t>
  </si>
  <si>
    <t>10001018002P1</t>
  </si>
  <si>
    <t>10001018004P4</t>
  </si>
  <si>
    <t>10001018005P0</t>
  </si>
  <si>
    <t>10001018011P0</t>
  </si>
  <si>
    <t>MESTRADO ACADÊMICO EM EDUCAÇÃO</t>
  </si>
  <si>
    <t>10001018012P7</t>
  </si>
  <si>
    <t>MESTRADO ACADÊMICO EM ESTUDOS LITERÁRIOS</t>
  </si>
  <si>
    <t>10001018015P6</t>
  </si>
  <si>
    <t>MESTRADO ACADÊMICO EM HISTÓRIA E ESTUDOS CULTURAIS</t>
  </si>
  <si>
    <t>10001018010P4</t>
  </si>
  <si>
    <t>MESTRADO ACADÊMICO EM LETRAS</t>
  </si>
  <si>
    <t>10001018009P6</t>
  </si>
  <si>
    <t>MESTRADO ACADÊMICO EM PSICOLOGIA</t>
  </si>
  <si>
    <t>TAEM - PORTO VELHO</t>
  </si>
  <si>
    <t>DQM - PORTO VELHO</t>
  </si>
  <si>
    <t>TAEG TOTAL</t>
  </si>
  <si>
    <t>TAEM TOTAL</t>
  </si>
  <si>
    <t>TAE - TOTAL</t>
  </si>
  <si>
    <t>CSG - MÉDIO</t>
  </si>
  <si>
    <t>CCM - MÉDIO</t>
  </si>
  <si>
    <t>RAP - MÉDIO</t>
  </si>
  <si>
    <t>DEQ - TOTAL</t>
  </si>
  <si>
    <t>LEGENDA</t>
  </si>
  <si>
    <t>TAEG -</t>
  </si>
  <si>
    <t>Total de Aluno Equivalente de Graduação do Câmpus</t>
  </si>
  <si>
    <t>TAEM -</t>
  </si>
  <si>
    <t>Total de Aluno Equivalente de Mestrado do Câmpus</t>
  </si>
  <si>
    <t>TAE -</t>
  </si>
  <si>
    <t>Total de Aluno Equivalente do Câmpus</t>
  </si>
  <si>
    <t>DQG -</t>
  </si>
  <si>
    <t>Dimensão Qualidade dos Cursos de Graduação do Câmpus</t>
  </si>
  <si>
    <t>DQM -</t>
  </si>
  <si>
    <t>Dimensão Qualidade dos Cursos de Mestrado do Câmpus</t>
  </si>
  <si>
    <t>RAP -</t>
  </si>
  <si>
    <t>Relação Aluno Equivalente por Professor Equivalente do Câmpus</t>
  </si>
  <si>
    <t>DEAE -</t>
  </si>
  <si>
    <t>Dimensão Eficiência das Atividades de Ensino do Câmpus</t>
  </si>
  <si>
    <t>DEQ -</t>
  </si>
  <si>
    <t>Dimensão da Eficiência e Qualidade Acadêmico-Científica do Câmpus</t>
  </si>
  <si>
    <t>PTAE -</t>
  </si>
  <si>
    <t>Participação do Câmpus no Total de Aluno Equivalente do Conjunto dos Campi</t>
  </si>
  <si>
    <t>EQR -</t>
  </si>
  <si>
    <t>Dimensão da Eficiência e Qualidade Acadêmico-Científica do Câmpus Relativa ao Conjunto dos Campi</t>
  </si>
  <si>
    <t>PART -</t>
  </si>
  <si>
    <t>Parcela Decimal de Participação do Câmpus no Total dos Recursos de OCC-UNIR</t>
  </si>
  <si>
    <t>CPC -</t>
  </si>
  <si>
    <t>Conceito Preliminar de Curso (SINAES)</t>
  </si>
  <si>
    <t>C. CAPES -</t>
  </si>
  <si>
    <t>FCG -</t>
  </si>
  <si>
    <t>Fator Qualidade Acadêmico-Científica dos Cursos de Graduação do Câmpus</t>
  </si>
  <si>
    <t>FQM -</t>
  </si>
  <si>
    <t>Fator Qualidade Acadêmico-Científica dos Cursos de Mestrado do Câmpus</t>
  </si>
  <si>
    <t>TAEG - TOTAL</t>
  </si>
  <si>
    <t>Total de Aluno Equivalente de Graduação da UNIR</t>
  </si>
  <si>
    <t>TAEM - TOTAL</t>
  </si>
  <si>
    <t>Total de Aluno Equivalente de Mestrado da UNIR</t>
  </si>
  <si>
    <t>Total de Aluno Equivalente da UNIR</t>
  </si>
  <si>
    <t>Conceito Sinaes Médio do Conjunto dos Cursos de Graduação da UNIR</t>
  </si>
  <si>
    <t>Conceito CAPES Médio do Conjunto dos Cursos de Mestrado da UNIR</t>
  </si>
  <si>
    <t>Relação Aluno Equivalente por Professor Equivalente Média da UNIR</t>
  </si>
  <si>
    <t>Soma da Dimensão da Eficiência e Qualidade Acadêmico-Científica dos Campi</t>
  </si>
  <si>
    <t>Fórmula de calculo: TAEj = TAEGj + TAERMj + TAEMj + TAEDj</t>
  </si>
  <si>
    <t>TAEGj</t>
  </si>
  <si>
    <t>TAERMj</t>
  </si>
  <si>
    <t>TAEMj</t>
  </si>
  <si>
    <t>TAEDj</t>
  </si>
  <si>
    <t>TAEj</t>
  </si>
  <si>
    <t>CIÊNCIAS DA INFORMAÇÃO</t>
  </si>
  <si>
    <t>TAEG - NUCSA</t>
  </si>
  <si>
    <t>TAE - NUCSA</t>
  </si>
  <si>
    <t>DQG - NUCSA</t>
  </si>
  <si>
    <t>RAP - NUCSA</t>
  </si>
  <si>
    <t>DEAE - NUCSA</t>
  </si>
  <si>
    <t>DEQ - NUCSA</t>
  </si>
  <si>
    <t>PTAE - NUCSA</t>
  </si>
  <si>
    <t>EQR - NUCSA</t>
  </si>
  <si>
    <t>PART - NUCSA</t>
  </si>
  <si>
    <t>TAEG - NT</t>
  </si>
  <si>
    <t>TAE - NT</t>
  </si>
  <si>
    <t>DQG - NT</t>
  </si>
  <si>
    <t>RAP - NT</t>
  </si>
  <si>
    <t>DEAE - NT</t>
  </si>
  <si>
    <t>DEQ - NT</t>
  </si>
  <si>
    <t>PTAE - NT</t>
  </si>
  <si>
    <t>EQR - NT</t>
  </si>
  <si>
    <t>PART - NT</t>
  </si>
  <si>
    <t>TAEG - NCET</t>
  </si>
  <si>
    <t>TAE - NCET</t>
  </si>
  <si>
    <t>DQG - NCET</t>
  </si>
  <si>
    <t>RAP - NCET</t>
  </si>
  <si>
    <t>DEAE - NCET</t>
  </si>
  <si>
    <t>DEQ - NCET</t>
  </si>
  <si>
    <t>PTAE - NCET</t>
  </si>
  <si>
    <t>EQR - NCET</t>
  </si>
  <si>
    <t>PART - NCET</t>
  </si>
  <si>
    <t>TAEG - NCH</t>
  </si>
  <si>
    <t>TAE - NCH</t>
  </si>
  <si>
    <t>DQG - NCH</t>
  </si>
  <si>
    <t>RAP - NCH</t>
  </si>
  <si>
    <t>DEAE - NCH</t>
  </si>
  <si>
    <t>DEQ - NCH</t>
  </si>
  <si>
    <t>PTAE - NCH</t>
  </si>
  <si>
    <t>EQR - NCH</t>
  </si>
  <si>
    <t>PART - NCH</t>
  </si>
  <si>
    <t>TAEG - NUSAU</t>
  </si>
  <si>
    <t>TAE - NUSAU</t>
  </si>
  <si>
    <t>DQG - NUSAU</t>
  </si>
  <si>
    <t>RAP - NUSAU</t>
  </si>
  <si>
    <t>DEAE - NUSAU</t>
  </si>
  <si>
    <t>DEQ - NUSAU</t>
  </si>
  <si>
    <t>PTAE - NUSAU</t>
  </si>
  <si>
    <t>EQR - NUSAU</t>
  </si>
  <si>
    <t>PART - NUSAU</t>
  </si>
  <si>
    <t>Percentual de Aluno Equivalente, Eficiencia qualidade Acadêmico-Científica e Participação no rateio de OCC da UNIR  por Campus - ANO 2014</t>
  </si>
  <si>
    <r>
      <t>% TAE</t>
    </r>
    <r>
      <rPr>
        <b/>
        <vertAlign val="subscript"/>
        <sz val="12"/>
        <color rgb="FF000000"/>
        <rFont val="Arial"/>
        <family val="2"/>
        <charset val="1"/>
      </rPr>
      <t>U</t>
    </r>
  </si>
  <si>
    <t>%EQR</t>
  </si>
  <si>
    <t>%PART</t>
  </si>
  <si>
    <t>Rateio - Custeio</t>
  </si>
  <si>
    <t>Rateio - Capital</t>
  </si>
  <si>
    <t>Limites Diárias e Pass.)</t>
  </si>
  <si>
    <t>CACOAL</t>
  </si>
  <si>
    <t>GUAJARÁ-MIRIM</t>
  </si>
  <si>
    <t>JI-PARANÁ</t>
  </si>
  <si>
    <t>ROLIM DE MOURA</t>
  </si>
  <si>
    <t>VILHENA</t>
  </si>
  <si>
    <t>ARIQUEMES</t>
  </si>
  <si>
    <t>PRESIDENTE MÉDICE</t>
  </si>
  <si>
    <t>PORTO VELHO</t>
  </si>
  <si>
    <r>
      <t>TAE</t>
    </r>
    <r>
      <rPr>
        <b/>
        <vertAlign val="subscript"/>
        <sz val="12"/>
        <color rgb="FF000000"/>
        <rFont val="Arial"/>
        <family val="2"/>
        <charset val="1"/>
      </rPr>
      <t xml:space="preserve">U </t>
    </r>
    <r>
      <rPr>
        <b/>
        <sz val="12"/>
        <color rgb="FF000000"/>
        <rFont val="Arial"/>
        <family val="2"/>
        <charset val="1"/>
      </rPr>
      <t>TOTAL</t>
    </r>
  </si>
  <si>
    <t>Orçamento Total de OCC UNIR 2014</t>
  </si>
  <si>
    <t>Percentual de Aluno Equivalente, Eficiencia na Qualidade Acadêmico-Científica e Participação no rateio de OCC da UNIR  por Núcleo - ANO 2014</t>
  </si>
  <si>
    <t>Limite Diárias e Pass.)</t>
  </si>
  <si>
    <t>Orçamento Total de OCC Campus de Porto Velho - 2014</t>
  </si>
  <si>
    <t>Limites        (Diárias e Pass.)</t>
  </si>
  <si>
    <r>
      <t>% TAE</t>
    </r>
    <r>
      <rPr>
        <b/>
        <vertAlign val="subscript"/>
        <sz val="10"/>
        <color rgb="FF000000"/>
        <rFont val="Arial"/>
        <family val="2"/>
        <charset val="1"/>
      </rPr>
      <t>U</t>
    </r>
  </si>
  <si>
    <t>FC-DIST.</t>
  </si>
  <si>
    <t>%PART.FINAL</t>
  </si>
  <si>
    <t>Rateio OCC</t>
  </si>
  <si>
    <r>
      <t>TAE</t>
    </r>
    <r>
      <rPr>
        <b/>
        <vertAlign val="subscript"/>
        <sz val="10"/>
        <color rgb="FF000000"/>
        <rFont val="Arial"/>
        <family val="2"/>
        <charset val="1"/>
      </rPr>
      <t xml:space="preserve">U </t>
    </r>
    <r>
      <rPr>
        <b/>
        <sz val="10"/>
        <color rgb="FF000000"/>
        <rFont val="Arial"/>
        <family val="2"/>
        <charset val="1"/>
      </rPr>
      <t>TOTAL</t>
    </r>
  </si>
  <si>
    <t>*Fator de Correção - FC (DISTÂNCIA DA SEDE)</t>
  </si>
  <si>
    <t>Campus</t>
  </si>
  <si>
    <t>F. de cor.</t>
  </si>
  <si>
    <t>Dist. em Km.</t>
  </si>
  <si>
    <t>Porto Velho</t>
  </si>
  <si>
    <t>Ariquemes</t>
  </si>
  <si>
    <t>Guajará-Mirim</t>
  </si>
  <si>
    <t>Jí-Paraná</t>
  </si>
  <si>
    <t>Presidente-Médice</t>
  </si>
  <si>
    <t>Rolim de Moura</t>
  </si>
  <si>
    <t>Cacoal</t>
  </si>
  <si>
    <t>Vilhena</t>
  </si>
  <si>
    <t>Total</t>
  </si>
  <si>
    <r>
      <t xml:space="preserve">*Fórmula: FC = Dist. Campus / </t>
    </r>
    <r>
      <rPr>
        <sz val="10"/>
        <rFont val="Symbol"/>
        <family val="1"/>
        <charset val="2"/>
      </rPr>
      <t>S</t>
    </r>
    <r>
      <rPr>
        <sz val="8.5"/>
        <rFont val="Arial"/>
        <family val="2"/>
        <charset val="1"/>
      </rPr>
      <t xml:space="preserve"> (Distância do conjunto dos Campi da Sede)</t>
    </r>
  </si>
  <si>
    <t>GUAJARÁ-MIRIM</t>
  </si>
  <si>
    <t>JÍ-PARANÁ</t>
  </si>
  <si>
    <t>%TAEu</t>
  </si>
  <si>
    <t>NUCSA</t>
  </si>
  <si>
    <t>NT</t>
  </si>
  <si>
    <t>NCET</t>
  </si>
  <si>
    <t>NCH</t>
  </si>
  <si>
    <t>NUSAU</t>
  </si>
  <si>
    <t/>
  </si>
  <si>
    <t>X</t>
  </si>
  <si>
    <t>MESTRADO EM BIOLOGIA EXPERIMENTAL</t>
  </si>
  <si>
    <t>DOUTORADO EM BIOLOGIA EXPERIMENTAL</t>
  </si>
  <si>
    <t>MESTRADO EM DESENVOLVIMENTO REGIONAL E MEIO AMBIENTE</t>
  </si>
  <si>
    <t>DOUTORADO EM DESENVOLVIMENTO REGIONAL E MEIO AMBIENTE</t>
  </si>
  <si>
    <t>MESTRADO EM GEOGRAFIA</t>
  </si>
  <si>
    <t>TAEM/TAED - PORTO VELHO</t>
  </si>
  <si>
    <t>TAEM/TAED</t>
  </si>
  <si>
    <t>TAEM/TAED TOTAL</t>
  </si>
  <si>
    <t>TAED -</t>
  </si>
  <si>
    <t>Total de Aluno Equivalente de Doutorado do Câmpus</t>
  </si>
  <si>
    <t>CIÊNCIAS CONTÁBEIS - CACOAL</t>
  </si>
  <si>
    <t>CIÊNCIAS CONTABEIS (VESPERTINO) - CACOAL</t>
  </si>
  <si>
    <t>OK</t>
  </si>
  <si>
    <t>ENADE</t>
  </si>
  <si>
    <t>Relatório de Indicadores Agregado - 2014</t>
  </si>
  <si>
    <t>T-20 = 22</t>
  </si>
  <si>
    <t>T-40 = 8</t>
  </si>
  <si>
    <t>DE = 45</t>
  </si>
  <si>
    <t>T-20 = 3</t>
  </si>
  <si>
    <t>T-40 = 1</t>
  </si>
  <si>
    <t>DE = 28</t>
  </si>
  <si>
    <t>DE = 53</t>
  </si>
  <si>
    <t>T-20 = 0</t>
  </si>
  <si>
    <t>T-40 = 0</t>
  </si>
  <si>
    <t>T-40 = 3</t>
  </si>
  <si>
    <t>DE = 112</t>
  </si>
  <si>
    <t>T-20 = 31</t>
  </si>
  <si>
    <t>T-40 = 10</t>
  </si>
  <si>
    <t>DE = 52</t>
  </si>
  <si>
    <t>Percentual de Aluno Equivalente e Participação no rateio de OCC da UNIR  por Campus - ANO 2016</t>
  </si>
  <si>
    <t>Percentual de Aluno Equivalente e Participação no rateio de OCC da UNIR  por Núcleo - ANO 2016</t>
  </si>
  <si>
    <t>Orçamento Total de OCC Campus de Porto Velho - 2016</t>
  </si>
  <si>
    <t>Orçamento Total de OCC UNIR 2016</t>
  </si>
  <si>
    <t>Percentual de Aluno Equivalente, Eficiencia qualidade Acadêmico-Científica e Participação no rateio de OCC da UNIR  por Campus - ANO 2016</t>
  </si>
  <si>
    <t>Percentual de Aluno Equivalente, Eficiencia na Qualidade Acadêmico-Científica e Participação no rateio de OCC da UNIR  por Núcleo - ANO 2016</t>
  </si>
  <si>
    <t>Conceito do Programa de Mestrado/Doutorado na CAPES</t>
  </si>
  <si>
    <t>matric-média</t>
  </si>
  <si>
    <t>pvh-graduação2</t>
  </si>
  <si>
    <t>pvh-graduação1</t>
  </si>
  <si>
    <t>Graduação + Pós</t>
  </si>
  <si>
    <t>Quadro Síntese dos Índices</t>
  </si>
  <si>
    <t>PRESIDENTE MÉDICI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</si>
</sst>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/yyyy"/>
    <numFmt numFmtId="165" formatCode="_(\$* #,##0.00_);_(\$* \(#,##0.00\);_(\$* \-??_);_(@_)"/>
    <numFmt numFmtId="166" formatCode="&quot;R$ &quot;#,##0.00"/>
    <numFmt numFmtId="167" formatCode="_(* #,##0.00_);_(* \(#,##0.00\);_(* \-??_);_(@_)"/>
    <numFmt numFmtId="168" formatCode="&quot;R$ &quot;#,##0.00_);&quot;(R$ &quot;#,##0.00\)"/>
    <numFmt numFmtId="169" formatCode="_-[$R$-416]\ * #,##0.00_-;\-[$R$-416]\ * #,##0.00_-;_-[$R$-416]\ * &quot;-&quot;??_-;_-@_-"/>
  </numFmts>
  <fonts count="28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8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vertAlign val="subscript"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vertAlign val="subscript"/>
      <sz val="10"/>
      <color rgb="FF000000"/>
      <name val="Arial"/>
      <family val="2"/>
      <charset val="1"/>
    </font>
    <font>
      <sz val="10"/>
      <name val="Symbol"/>
      <family val="1"/>
      <charset val="2"/>
    </font>
    <font>
      <sz val="8.5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9BBB59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4BACC6"/>
      </patternFill>
    </fill>
    <fill>
      <patternFill patternType="solid">
        <fgColor rgb="FFCC99FF"/>
        <bgColor rgb="FF9999FF"/>
      </patternFill>
    </fill>
    <fill>
      <patternFill patternType="solid">
        <fgColor rgb="FF008080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008000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3366FF"/>
        <bgColor rgb="FF4672A8"/>
      </patternFill>
    </fill>
    <fill>
      <patternFill patternType="solid">
        <fgColor rgb="FFFF0000"/>
        <bgColor rgb="FF993300"/>
      </patternFill>
    </fill>
    <fill>
      <patternFill patternType="solid">
        <fgColor rgb="FF808000"/>
        <bgColor rgb="FF808080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00B0F0"/>
        <bgColor rgb="FFFFFFCC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167" fontId="22" fillId="0" borderId="0" applyBorder="0" applyProtection="0"/>
    <xf numFmtId="165" fontId="22" fillId="0" borderId="0" applyBorder="0" applyProtection="0"/>
    <xf numFmtId="9" fontId="22" fillId="0" borderId="0" applyBorder="0" applyProtection="0"/>
  </cellStyleXfs>
  <cellXfs count="62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5" fontId="0" fillId="0" borderId="0" xfId="2" applyFont="1" applyBorder="1" applyAlignment="1" applyProtection="1"/>
    <xf numFmtId="0" fontId="4" fillId="2" borderId="0" xfId="0" applyFont="1" applyFill="1" applyBorder="1" applyAlignment="1">
      <alignment vertical="top" wrapText="1"/>
    </xf>
    <xf numFmtId="0" fontId="0" fillId="2" borderId="0" xfId="0" applyFill="1" applyAlignment="1"/>
    <xf numFmtId="10" fontId="0" fillId="2" borderId="0" xfId="3" applyNumberFormat="1" applyFont="1" applyFill="1" applyBorder="1" applyAlignment="1" applyProtection="1"/>
    <xf numFmtId="0" fontId="0" fillId="2" borderId="0" xfId="0" applyFill="1" applyBorder="1"/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0" fillId="2" borderId="1" xfId="0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top" wrapText="1"/>
    </xf>
    <xf numFmtId="0" fontId="0" fillId="0" borderId="0" xfId="0"/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" fontId="0" fillId="0" borderId="28" xfId="3" applyNumberFormat="1" applyFont="1" applyBorder="1" applyAlignment="1" applyProtection="1">
      <alignment horizontal="center"/>
    </xf>
    <xf numFmtId="2" fontId="6" fillId="4" borderId="31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6" fillId="4" borderId="31" xfId="0" applyNumberFormat="1" applyFont="1" applyFill="1" applyBorder="1" applyAlignment="1">
      <alignment horizontal="center" vertical="top" wrapText="1"/>
    </xf>
    <xf numFmtId="2" fontId="6" fillId="4" borderId="34" xfId="0" applyNumberFormat="1" applyFont="1" applyFill="1" applyBorder="1" applyAlignment="1">
      <alignment horizontal="center" vertical="top" wrapText="1"/>
    </xf>
    <xf numFmtId="2" fontId="6" fillId="4" borderId="31" xfId="3" applyNumberFormat="1" applyFont="1" applyFill="1" applyBorder="1" applyAlignment="1" applyProtection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0" fillId="0" borderId="0" xfId="2" applyNumberFormat="1" applyFont="1" applyBorder="1" applyAlignment="1" applyProtection="1"/>
    <xf numFmtId="2" fontId="6" fillId="2" borderId="31" xfId="3" applyNumberFormat="1" applyFont="1" applyFill="1" applyBorder="1" applyAlignment="1" applyProtection="1">
      <alignment horizontal="center" vertical="top" wrapText="1"/>
    </xf>
    <xf numFmtId="0" fontId="7" fillId="2" borderId="3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1" fontId="8" fillId="0" borderId="40" xfId="0" applyNumberFormat="1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vertical="top" wrapText="1"/>
    </xf>
    <xf numFmtId="0" fontId="0" fillId="0" borderId="43" xfId="0" applyBorder="1"/>
    <xf numFmtId="1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6" fillId="4" borderId="41" xfId="0" applyFont="1" applyFill="1" applyBorder="1" applyAlignment="1">
      <alignment vertical="top" wrapText="1"/>
    </xf>
    <xf numFmtId="0" fontId="0" fillId="0" borderId="15" xfId="0" applyBorder="1"/>
    <xf numFmtId="0" fontId="0" fillId="0" borderId="27" xfId="0" applyBorder="1"/>
    <xf numFmtId="2" fontId="6" fillId="4" borderId="30" xfId="0" applyNumberFormat="1" applyFont="1" applyFill="1" applyBorder="1" applyAlignment="1">
      <alignment horizontal="center" vertical="top" wrapText="1"/>
    </xf>
    <xf numFmtId="166" fontId="1" fillId="2" borderId="0" xfId="2" applyNumberFormat="1" applyFont="1" applyFill="1" applyBorder="1" applyAlignment="1" applyProtection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vertical="top" wrapText="1"/>
    </xf>
    <xf numFmtId="2" fontId="6" fillId="2" borderId="11" xfId="0" applyNumberFormat="1" applyFont="1" applyFill="1" applyBorder="1" applyAlignment="1">
      <alignment vertical="top" wrapText="1"/>
    </xf>
    <xf numFmtId="2" fontId="6" fillId="2" borderId="26" xfId="0" applyNumberFormat="1" applyFont="1" applyFill="1" applyBorder="1" applyAlignment="1">
      <alignment vertical="top" wrapText="1"/>
    </xf>
    <xf numFmtId="2" fontId="6" fillId="4" borderId="47" xfId="0" applyNumberFormat="1" applyFont="1" applyFill="1" applyBorder="1" applyAlignment="1">
      <alignment horizontal="center" vertical="top" wrapText="1"/>
    </xf>
    <xf numFmtId="2" fontId="6" fillId="4" borderId="34" xfId="0" applyNumberFormat="1" applyFont="1" applyFill="1" applyBorder="1" applyAlignment="1">
      <alignment horizontal="center" vertical="center" wrapText="1"/>
    </xf>
    <xf numFmtId="0" fontId="0" fillId="0" borderId="31" xfId="0" applyFont="1" applyBorder="1"/>
    <xf numFmtId="0" fontId="0" fillId="0" borderId="22" xfId="0" applyFont="1" applyBorder="1"/>
    <xf numFmtId="0" fontId="7" fillId="2" borderId="4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2" fontId="6" fillId="2" borderId="0" xfId="3" applyNumberFormat="1" applyFont="1" applyFill="1" applyBorder="1" applyAlignment="1" applyProtection="1">
      <alignment horizontal="center" vertical="top" wrapText="1"/>
    </xf>
    <xf numFmtId="0" fontId="6" fillId="2" borderId="3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/>
    </xf>
    <xf numFmtId="1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6" fillId="2" borderId="11" xfId="0" applyNumberFormat="1" applyFont="1" applyFill="1" applyBorder="1" applyAlignment="1">
      <alignment horizontal="center" vertical="top" wrapText="1"/>
    </xf>
    <xf numFmtId="1" fontId="0" fillId="0" borderId="5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2" borderId="26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7" fillId="2" borderId="53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4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35" xfId="0" applyFill="1" applyBorder="1" applyAlignment="1"/>
    <xf numFmtId="0" fontId="0" fillId="2" borderId="37" xfId="0" applyFill="1" applyBorder="1" applyAlignment="1"/>
    <xf numFmtId="0" fontId="0" fillId="2" borderId="0" xfId="0" applyFill="1" applyBorder="1" applyAlignment="1"/>
    <xf numFmtId="0" fontId="0" fillId="2" borderId="56" xfId="0" applyFill="1" applyBorder="1" applyAlignment="1"/>
    <xf numFmtId="2" fontId="6" fillId="2" borderId="43" xfId="0" applyNumberFormat="1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/>
    </xf>
    <xf numFmtId="1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167" fontId="0" fillId="0" borderId="0" xfId="1" applyFont="1" applyBorder="1" applyAlignment="1" applyProtection="1"/>
    <xf numFmtId="2" fontId="6" fillId="4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12" borderId="46" xfId="0" applyFont="1" applyFill="1" applyBorder="1" applyAlignment="1">
      <alignment horizontal="left" vertical="top" wrapText="1"/>
    </xf>
    <xf numFmtId="0" fontId="7" fillId="12" borderId="46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/>
    </xf>
    <xf numFmtId="1" fontId="8" fillId="12" borderId="46" xfId="0" applyNumberFormat="1" applyFont="1" applyFill="1" applyBorder="1" applyAlignment="1">
      <alignment horizontal="center" vertical="center" shrinkToFit="1"/>
    </xf>
    <xf numFmtId="0" fontId="8" fillId="12" borderId="60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2" fontId="1" fillId="2" borderId="52" xfId="0" applyNumberFormat="1" applyFont="1" applyFill="1" applyBorder="1" applyAlignment="1">
      <alignment horizontal="center" vertical="top" wrapText="1"/>
    </xf>
    <xf numFmtId="1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7" fillId="12" borderId="11" xfId="0" applyFont="1" applyFill="1" applyBorder="1" applyAlignment="1">
      <alignment horizontal="left" vertical="center" wrapText="1"/>
    </xf>
    <xf numFmtId="2" fontId="1" fillId="2" borderId="20" xfId="0" applyNumberFormat="1" applyFont="1" applyFill="1" applyBorder="1" applyAlignment="1">
      <alignment horizontal="center" vertical="top" wrapText="1"/>
    </xf>
    <xf numFmtId="0" fontId="7" fillId="1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top" wrapText="1"/>
    </xf>
    <xf numFmtId="2" fontId="1" fillId="2" borderId="25" xfId="0" applyNumberFormat="1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1" fillId="13" borderId="46" xfId="0" applyFont="1" applyFill="1" applyBorder="1" applyAlignment="1">
      <alignment horizontal="left" vertical="top" wrapText="1"/>
    </xf>
    <xf numFmtId="0" fontId="7" fillId="13" borderId="46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8" fillId="13" borderId="46" xfId="0" applyFont="1" applyFill="1" applyBorder="1" applyAlignment="1">
      <alignment horizontal="center" vertical="center"/>
    </xf>
    <xf numFmtId="1" fontId="8" fillId="13" borderId="46" xfId="0" applyNumberFormat="1" applyFont="1" applyFill="1" applyBorder="1" applyAlignment="1">
      <alignment horizontal="center" vertical="center" shrinkToFit="1"/>
    </xf>
    <xf numFmtId="0" fontId="8" fillId="13" borderId="60" xfId="0" applyFont="1" applyFill="1" applyBorder="1" applyAlignment="1">
      <alignment horizontal="center" vertical="center"/>
    </xf>
    <xf numFmtId="0" fontId="7" fillId="13" borderId="61" xfId="0" applyFont="1" applyFill="1" applyBorder="1" applyAlignment="1">
      <alignment horizontal="left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left" vertical="center" wrapText="1"/>
    </xf>
    <xf numFmtId="0" fontId="7" fillId="13" borderId="21" xfId="0" applyFont="1" applyFill="1" applyBorder="1" applyAlignment="1">
      <alignment horizontal="left" vertical="center" wrapText="1"/>
    </xf>
    <xf numFmtId="0" fontId="1" fillId="14" borderId="46" xfId="0" applyFont="1" applyFill="1" applyBorder="1" applyAlignment="1">
      <alignment horizontal="left" vertical="top" wrapText="1"/>
    </xf>
    <xf numFmtId="0" fontId="7" fillId="14" borderId="46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8" fillId="14" borderId="46" xfId="0" applyFont="1" applyFill="1" applyBorder="1" applyAlignment="1">
      <alignment horizontal="center" vertical="center"/>
    </xf>
    <xf numFmtId="1" fontId="8" fillId="14" borderId="46" xfId="0" applyNumberFormat="1" applyFont="1" applyFill="1" applyBorder="1" applyAlignment="1">
      <alignment horizontal="center" vertical="center" shrinkToFit="1"/>
    </xf>
    <xf numFmtId="0" fontId="8" fillId="14" borderId="60" xfId="0" applyFont="1" applyFill="1" applyBorder="1" applyAlignment="1">
      <alignment horizontal="center" vertical="center"/>
    </xf>
    <xf numFmtId="0" fontId="7" fillId="14" borderId="61" xfId="0" applyFont="1" applyFill="1" applyBorder="1" applyAlignment="1">
      <alignment horizontal="left" vertical="center" wrapText="1"/>
    </xf>
    <xf numFmtId="0" fontId="7" fillId="14" borderId="11" xfId="0" applyFont="1" applyFill="1" applyBorder="1" applyAlignment="1">
      <alignment horizontal="left" vertical="center" wrapText="1"/>
    </xf>
    <xf numFmtId="0" fontId="7" fillId="14" borderId="21" xfId="0" applyFont="1" applyFill="1" applyBorder="1" applyAlignment="1">
      <alignment horizontal="left" vertical="center" wrapText="1"/>
    </xf>
    <xf numFmtId="0" fontId="1" fillId="15" borderId="46" xfId="0" applyFont="1" applyFill="1" applyBorder="1" applyAlignment="1">
      <alignment horizontal="left" vertical="top" wrapText="1"/>
    </xf>
    <xf numFmtId="0" fontId="7" fillId="15" borderId="46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8" fillId="15" borderId="46" xfId="0" applyFont="1" applyFill="1" applyBorder="1" applyAlignment="1">
      <alignment horizontal="center" vertical="center"/>
    </xf>
    <xf numFmtId="1" fontId="8" fillId="15" borderId="46" xfId="0" applyNumberFormat="1" applyFont="1" applyFill="1" applyBorder="1" applyAlignment="1">
      <alignment horizontal="center" vertical="center" shrinkToFit="1"/>
    </xf>
    <xf numFmtId="0" fontId="8" fillId="15" borderId="60" xfId="0" applyFont="1" applyFill="1" applyBorder="1" applyAlignment="1">
      <alignment horizontal="center" vertical="center"/>
    </xf>
    <xf numFmtId="0" fontId="7" fillId="15" borderId="61" xfId="0" applyFont="1" applyFill="1" applyBorder="1" applyAlignment="1">
      <alignment horizontal="left" vertical="center" wrapText="1"/>
    </xf>
    <xf numFmtId="2" fontId="1" fillId="2" borderId="61" xfId="0" applyNumberFormat="1" applyFont="1" applyFill="1" applyBorder="1" applyAlignment="1">
      <alignment horizontal="center" vertical="top" wrapText="1"/>
    </xf>
    <xf numFmtId="0" fontId="0" fillId="0" borderId="62" xfId="0" applyBorder="1" applyAlignment="1">
      <alignment horizontal="center"/>
    </xf>
    <xf numFmtId="0" fontId="7" fillId="15" borderId="11" xfId="0" applyFon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7" fillId="15" borderId="21" xfId="0" applyFont="1" applyFill="1" applyBorder="1" applyAlignment="1">
      <alignment horizontal="left" vertical="center" wrapText="1"/>
    </xf>
    <xf numFmtId="2" fontId="1" fillId="2" borderId="21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1" fillId="16" borderId="46" xfId="0" applyFont="1" applyFill="1" applyBorder="1" applyAlignment="1">
      <alignment horizontal="left" vertical="top" wrapText="1"/>
    </xf>
    <xf numFmtId="0" fontId="7" fillId="16" borderId="46" xfId="0" applyFont="1" applyFill="1" applyBorder="1" applyAlignment="1">
      <alignment horizontal="center"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8" fillId="16" borderId="46" xfId="0" applyFont="1" applyFill="1" applyBorder="1" applyAlignment="1">
      <alignment horizontal="center" vertical="center"/>
    </xf>
    <xf numFmtId="1" fontId="8" fillId="16" borderId="46" xfId="0" applyNumberFormat="1" applyFont="1" applyFill="1" applyBorder="1" applyAlignment="1">
      <alignment horizontal="center" vertical="center" shrinkToFit="1"/>
    </xf>
    <xf numFmtId="0" fontId="8" fillId="16" borderId="60" xfId="0" applyFont="1" applyFill="1" applyBorder="1" applyAlignment="1">
      <alignment horizontal="center" vertical="center"/>
    </xf>
    <xf numFmtId="0" fontId="7" fillId="16" borderId="61" xfId="0" applyFont="1" applyFill="1" applyBorder="1" applyAlignment="1">
      <alignment horizontal="left" vertical="center" wrapText="1"/>
    </xf>
    <xf numFmtId="0" fontId="7" fillId="16" borderId="11" xfId="0" applyFont="1" applyFill="1" applyBorder="1" applyAlignment="1">
      <alignment horizontal="left" vertical="center" wrapText="1"/>
    </xf>
    <xf numFmtId="0" fontId="7" fillId="16" borderId="21" xfId="0" applyFont="1" applyFill="1" applyBorder="1" applyAlignment="1">
      <alignment horizontal="left" vertical="center" wrapText="1"/>
    </xf>
    <xf numFmtId="2" fontId="1" fillId="2" borderId="4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shrinkToFi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top" wrapText="1"/>
    </xf>
    <xf numFmtId="2" fontId="6" fillId="2" borderId="31" xfId="0" applyNumberFormat="1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/>
    </xf>
    <xf numFmtId="2" fontId="8" fillId="2" borderId="31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vertical="top" wrapText="1"/>
    </xf>
    <xf numFmtId="0" fontId="1" fillId="3" borderId="46" xfId="0" applyFont="1" applyFill="1" applyBorder="1" applyAlignment="1">
      <alignment vertical="top" wrapText="1"/>
    </xf>
    <xf numFmtId="0" fontId="6" fillId="5" borderId="30" xfId="0" applyFont="1" applyFill="1" applyBorder="1" applyAlignment="1">
      <alignment vertical="top" wrapText="1"/>
    </xf>
    <xf numFmtId="0" fontId="1" fillId="5" borderId="46" xfId="0" applyFont="1" applyFill="1" applyBorder="1" applyAlignment="1">
      <alignment vertical="top" wrapText="1"/>
    </xf>
    <xf numFmtId="0" fontId="6" fillId="6" borderId="30" xfId="0" applyFont="1" applyFill="1" applyBorder="1" applyAlignment="1">
      <alignment vertical="top" wrapText="1"/>
    </xf>
    <xf numFmtId="0" fontId="6" fillId="6" borderId="46" xfId="0" applyFont="1" applyFill="1" applyBorder="1" applyAlignment="1">
      <alignment vertical="top" wrapText="1"/>
    </xf>
    <xf numFmtId="0" fontId="6" fillId="3" borderId="46" xfId="0" applyFont="1" applyFill="1" applyBorder="1" applyAlignment="1">
      <alignment vertical="top" wrapText="1"/>
    </xf>
    <xf numFmtId="0" fontId="6" fillId="7" borderId="30" xfId="0" applyFont="1" applyFill="1" applyBorder="1" applyAlignment="1">
      <alignment vertical="top" wrapText="1"/>
    </xf>
    <xf numFmtId="0" fontId="6" fillId="7" borderId="46" xfId="0" applyFont="1" applyFill="1" applyBorder="1" applyAlignment="1">
      <alignment vertical="top" wrapText="1"/>
    </xf>
    <xf numFmtId="0" fontId="6" fillId="8" borderId="30" xfId="0" applyFont="1" applyFill="1" applyBorder="1" applyAlignment="1">
      <alignment vertical="top" wrapText="1"/>
    </xf>
    <xf numFmtId="0" fontId="6" fillId="8" borderId="46" xfId="0" applyFont="1" applyFill="1" applyBorder="1" applyAlignment="1">
      <alignment vertical="top" wrapText="1"/>
    </xf>
    <xf numFmtId="0" fontId="6" fillId="9" borderId="30" xfId="0" applyFont="1" applyFill="1" applyBorder="1" applyAlignment="1">
      <alignment vertical="top" wrapText="1"/>
    </xf>
    <xf numFmtId="0" fontId="6" fillId="9" borderId="46" xfId="0" applyFont="1" applyFill="1" applyBorder="1" applyAlignment="1">
      <alignment vertical="top" wrapText="1"/>
    </xf>
    <xf numFmtId="0" fontId="6" fillId="10" borderId="30" xfId="0" applyFont="1" applyFill="1" applyBorder="1" applyAlignment="1">
      <alignment vertical="top" wrapText="1"/>
    </xf>
    <xf numFmtId="0" fontId="6" fillId="10" borderId="46" xfId="0" applyFont="1" applyFill="1" applyBorder="1" applyAlignment="1">
      <alignment vertical="top" wrapText="1"/>
    </xf>
    <xf numFmtId="0" fontId="6" fillId="11" borderId="30" xfId="0" applyFont="1" applyFill="1" applyBorder="1" applyAlignment="1">
      <alignment vertical="top" wrapText="1"/>
    </xf>
    <xf numFmtId="0" fontId="6" fillId="11" borderId="46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0" fontId="6" fillId="4" borderId="46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0" fontId="8" fillId="2" borderId="30" xfId="0" applyFont="1" applyFill="1" applyBorder="1" applyAlignment="1"/>
    <xf numFmtId="0" fontId="8" fillId="2" borderId="46" xfId="0" applyFont="1" applyFill="1" applyBorder="1" applyAlignment="1"/>
    <xf numFmtId="0" fontId="8" fillId="4" borderId="30" xfId="0" applyFont="1" applyFill="1" applyBorder="1" applyAlignment="1"/>
    <xf numFmtId="0" fontId="8" fillId="4" borderId="46" xfId="0" applyFont="1" applyFill="1" applyBorder="1" applyAlignment="1"/>
    <xf numFmtId="0" fontId="8" fillId="4" borderId="8" xfId="0" applyFont="1" applyFill="1" applyBorder="1"/>
    <xf numFmtId="2" fontId="0" fillId="4" borderId="10" xfId="0" applyNumberFormat="1" applyFill="1" applyBorder="1"/>
    <xf numFmtId="0" fontId="8" fillId="2" borderId="15" xfId="0" applyFont="1" applyFill="1" applyBorder="1"/>
    <xf numFmtId="0" fontId="0" fillId="2" borderId="16" xfId="0" applyFill="1" applyBorder="1"/>
    <xf numFmtId="0" fontId="8" fillId="4" borderId="15" xfId="0" applyFont="1" applyFill="1" applyBorder="1"/>
    <xf numFmtId="2" fontId="0" fillId="4" borderId="16" xfId="0" applyNumberFormat="1" applyFill="1" applyBorder="1"/>
    <xf numFmtId="0" fontId="8" fillId="2" borderId="27" xfId="0" applyFont="1" applyFill="1" applyBorder="1"/>
    <xf numFmtId="0" fontId="0" fillId="2" borderId="29" xfId="0" applyFill="1" applyBorder="1"/>
    <xf numFmtId="0" fontId="8" fillId="0" borderId="30" xfId="0" applyFont="1" applyBorder="1"/>
    <xf numFmtId="0" fontId="7" fillId="2" borderId="3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 shrinkToFit="1"/>
    </xf>
    <xf numFmtId="0" fontId="8" fillId="12" borderId="69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left" vertical="top" wrapText="1"/>
    </xf>
    <xf numFmtId="0" fontId="1" fillId="14" borderId="3" xfId="0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0" fontId="1" fillId="16" borderId="3" xfId="0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0" borderId="3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0" borderId="22" xfId="0" applyFont="1" applyBorder="1"/>
    <xf numFmtId="2" fontId="4" fillId="6" borderId="31" xfId="0" applyNumberFormat="1" applyFont="1" applyFill="1" applyBorder="1" applyAlignment="1">
      <alignment horizontal="center" vertical="center" wrapText="1"/>
    </xf>
    <xf numFmtId="10" fontId="16" fillId="0" borderId="31" xfId="3" applyNumberFormat="1" applyFont="1" applyBorder="1" applyAlignment="1" applyProtection="1">
      <alignment horizontal="center" vertical="center"/>
    </xf>
    <xf numFmtId="10" fontId="16" fillId="17" borderId="60" xfId="3" applyNumberFormat="1" applyFont="1" applyFill="1" applyBorder="1" applyAlignment="1" applyProtection="1">
      <alignment horizontal="center" vertical="center"/>
    </xf>
    <xf numFmtId="166" fontId="17" fillId="2" borderId="30" xfId="0" applyNumberFormat="1" applyFont="1" applyFill="1" applyBorder="1"/>
    <xf numFmtId="166" fontId="17" fillId="2" borderId="3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166" fontId="17" fillId="2" borderId="0" xfId="0" applyNumberFormat="1" applyFont="1" applyFill="1" applyBorder="1"/>
    <xf numFmtId="0" fontId="17" fillId="0" borderId="37" xfId="0" applyFont="1" applyBorder="1"/>
    <xf numFmtId="2" fontId="4" fillId="6" borderId="43" xfId="0" applyNumberFormat="1" applyFont="1" applyFill="1" applyBorder="1" applyAlignment="1">
      <alignment horizontal="center" vertical="top" wrapText="1"/>
    </xf>
    <xf numFmtId="0" fontId="16" fillId="2" borderId="3" xfId="0" applyFont="1" applyFill="1" applyBorder="1" applyAlignment="1"/>
    <xf numFmtId="0" fontId="17" fillId="2" borderId="3" xfId="0" applyFont="1" applyFill="1" applyBorder="1" applyAlignment="1"/>
    <xf numFmtId="166" fontId="17" fillId="2" borderId="35" xfId="0" applyNumberFormat="1" applyFont="1" applyFill="1" applyBorder="1" applyAlignment="1"/>
    <xf numFmtId="0" fontId="18" fillId="0" borderId="0" xfId="0" applyFont="1"/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17" fillId="2" borderId="56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0" fontId="17" fillId="2" borderId="69" xfId="0" applyFont="1" applyFill="1" applyBorder="1" applyAlignment="1"/>
    <xf numFmtId="0" fontId="16" fillId="0" borderId="37" xfId="0" applyFont="1" applyBorder="1"/>
    <xf numFmtId="0" fontId="16" fillId="0" borderId="0" xfId="0" applyFont="1" applyBorder="1"/>
    <xf numFmtId="0" fontId="16" fillId="2" borderId="0" xfId="0" applyFont="1" applyFill="1" applyBorder="1"/>
    <xf numFmtId="0" fontId="14" fillId="2" borderId="31" xfId="0" applyFont="1" applyFill="1" applyBorder="1" applyAlignment="1">
      <alignment horizontal="center"/>
    </xf>
    <xf numFmtId="166" fontId="15" fillId="2" borderId="30" xfId="2" applyNumberFormat="1" applyFont="1" applyFill="1" applyBorder="1" applyAlignment="1" applyProtection="1"/>
    <xf numFmtId="168" fontId="15" fillId="0" borderId="31" xfId="2" applyNumberFormat="1" applyFont="1" applyBorder="1" applyAlignment="1" applyProtection="1"/>
    <xf numFmtId="166" fontId="16" fillId="2" borderId="0" xfId="0" applyNumberFormat="1" applyFont="1" applyFill="1" applyBorder="1"/>
    <xf numFmtId="0" fontId="16" fillId="0" borderId="67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/>
    </xf>
    <xf numFmtId="0" fontId="14" fillId="0" borderId="31" xfId="0" applyFont="1" applyBorder="1"/>
    <xf numFmtId="166" fontId="17" fillId="2" borderId="31" xfId="0" applyNumberFormat="1" applyFont="1" applyFill="1" applyBorder="1"/>
    <xf numFmtId="166" fontId="17" fillId="0" borderId="31" xfId="0" applyNumberFormat="1" applyFont="1" applyBorder="1"/>
    <xf numFmtId="0" fontId="17" fillId="0" borderId="67" xfId="0" applyFont="1" applyBorder="1"/>
    <xf numFmtId="166" fontId="17" fillId="0" borderId="67" xfId="0" applyNumberFormat="1" applyFont="1" applyBorder="1"/>
    <xf numFmtId="2" fontId="4" fillId="6" borderId="32" xfId="0" applyNumberFormat="1" applyFont="1" applyFill="1" applyBorder="1" applyAlignment="1">
      <alignment horizontal="center" vertical="center" wrapText="1"/>
    </xf>
    <xf numFmtId="10" fontId="16" fillId="0" borderId="32" xfId="3" applyNumberFormat="1" applyFont="1" applyBorder="1" applyAlignment="1" applyProtection="1">
      <alignment horizontal="center" vertical="center"/>
    </xf>
    <xf numFmtId="166" fontId="17" fillId="2" borderId="2" xfId="0" applyNumberFormat="1" applyFont="1" applyFill="1" applyBorder="1"/>
    <xf numFmtId="166" fontId="17" fillId="2" borderId="32" xfId="0" applyNumberFormat="1" applyFont="1" applyFill="1" applyBorder="1"/>
    <xf numFmtId="166" fontId="15" fillId="2" borderId="30" xfId="0" applyNumberFormat="1" applyFont="1" applyFill="1" applyBorder="1"/>
    <xf numFmtId="166" fontId="15" fillId="2" borderId="31" xfId="0" applyNumberFormat="1" applyFont="1" applyFill="1" applyBorder="1"/>
    <xf numFmtId="166" fontId="15" fillId="2" borderId="34" xfId="0" applyNumberFormat="1" applyFont="1" applyFill="1" applyBorder="1"/>
    <xf numFmtId="0" fontId="16" fillId="0" borderId="47" xfId="0" applyFont="1" applyBorder="1"/>
    <xf numFmtId="0" fontId="16" fillId="0" borderId="1" xfId="0" applyFont="1" applyBorder="1"/>
    <xf numFmtId="166" fontId="16" fillId="2" borderId="0" xfId="2" applyNumberFormat="1" applyFont="1" applyFill="1" applyBorder="1" applyAlignment="1" applyProtection="1"/>
    <xf numFmtId="0" fontId="0" fillId="0" borderId="0" xfId="0" applyBorder="1"/>
    <xf numFmtId="0" fontId="14" fillId="0" borderId="31" xfId="0" applyFont="1" applyBorder="1" applyAlignment="1">
      <alignment horizontal="center" wrapText="1"/>
    </xf>
    <xf numFmtId="0" fontId="12" fillId="2" borderId="0" xfId="0" applyFont="1" applyFill="1" applyBorder="1" applyAlignment="1">
      <alignment vertical="top" wrapText="1"/>
    </xf>
    <xf numFmtId="0" fontId="17" fillId="2" borderId="0" xfId="0" applyFont="1" applyFill="1" applyBorder="1"/>
    <xf numFmtId="166" fontId="18" fillId="0" borderId="0" xfId="0" applyNumberFormat="1" applyFont="1"/>
    <xf numFmtId="0" fontId="14" fillId="0" borderId="32" xfId="0" applyFont="1" applyBorder="1" applyAlignment="1">
      <alignment horizontal="center" wrapText="1"/>
    </xf>
    <xf numFmtId="0" fontId="18" fillId="0" borderId="67" xfId="0" applyFont="1" applyBorder="1"/>
    <xf numFmtId="166" fontId="15" fillId="2" borderId="47" xfId="0" applyNumberFormat="1" applyFont="1" applyFill="1" applyBorder="1"/>
    <xf numFmtId="0" fontId="1" fillId="2" borderId="69" xfId="0" applyFont="1" applyFill="1" applyBorder="1" applyAlignment="1">
      <alignment vertical="top" wrapText="1"/>
    </xf>
    <xf numFmtId="0" fontId="8" fillId="0" borderId="31" xfId="0" applyFont="1" applyBorder="1"/>
    <xf numFmtId="0" fontId="8" fillId="0" borderId="60" xfId="0" applyFont="1" applyBorder="1"/>
    <xf numFmtId="2" fontId="6" fillId="6" borderId="31" xfId="0" applyNumberFormat="1" applyFont="1" applyFill="1" applyBorder="1" applyAlignment="1">
      <alignment horizontal="center" vertical="center" wrapText="1"/>
    </xf>
    <xf numFmtId="10" fontId="0" fillId="0" borderId="31" xfId="3" applyNumberFormat="1" applyFont="1" applyBorder="1" applyAlignment="1" applyProtection="1"/>
    <xf numFmtId="10" fontId="0" fillId="17" borderId="60" xfId="3" applyNumberFormat="1" applyFont="1" applyFill="1" applyBorder="1" applyAlignment="1" applyProtection="1"/>
    <xf numFmtId="2" fontId="0" fillId="0" borderId="60" xfId="3" applyNumberFormat="1" applyFont="1" applyBorder="1" applyAlignment="1" applyProtection="1"/>
    <xf numFmtId="166" fontId="0" fillId="0" borderId="31" xfId="0" applyNumberFormat="1" applyBorder="1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166" fontId="0" fillId="2" borderId="56" xfId="0" applyNumberFormat="1" applyFill="1" applyBorder="1"/>
    <xf numFmtId="166" fontId="0" fillId="2" borderId="31" xfId="0" applyNumberFormat="1" applyFill="1" applyBorder="1"/>
    <xf numFmtId="9" fontId="0" fillId="2" borderId="0" xfId="3" applyFont="1" applyFill="1" applyBorder="1" applyAlignment="1" applyProtection="1"/>
    <xf numFmtId="2" fontId="6" fillId="6" borderId="43" xfId="0" applyNumberFormat="1" applyFont="1" applyFill="1" applyBorder="1" applyAlignment="1">
      <alignment horizontal="center" vertical="top" wrapText="1"/>
    </xf>
    <xf numFmtId="10" fontId="0" fillId="2" borderId="0" xfId="0" applyNumberFormat="1" applyFill="1" applyBorder="1"/>
    <xf numFmtId="166" fontId="8" fillId="2" borderId="31" xfId="2" applyNumberFormat="1" applyFont="1" applyFill="1" applyBorder="1" applyAlignment="1" applyProtection="1"/>
    <xf numFmtId="166" fontId="0" fillId="2" borderId="0" xfId="0" applyNumberFormat="1" applyFill="1" applyBorder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31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/>
    </xf>
    <xf numFmtId="167" fontId="0" fillId="0" borderId="60" xfId="1" applyFont="1" applyBorder="1" applyAlignment="1" applyProtection="1"/>
    <xf numFmtId="167" fontId="0" fillId="2" borderId="0" xfId="1" applyFont="1" applyFill="1" applyBorder="1" applyAlignment="1" applyProtection="1"/>
    <xf numFmtId="166" fontId="8" fillId="2" borderId="34" xfId="0" applyNumberFormat="1" applyFont="1" applyFill="1" applyBorder="1"/>
    <xf numFmtId="0" fontId="0" fillId="2" borderId="1" xfId="0" applyFill="1" applyBorder="1"/>
    <xf numFmtId="166" fontId="0" fillId="2" borderId="69" xfId="2" applyNumberFormat="1" applyFont="1" applyFill="1" applyBorder="1" applyAlignment="1" applyProtection="1"/>
    <xf numFmtId="0" fontId="8" fillId="0" borderId="0" xfId="0" applyFont="1" applyBorder="1" applyAlignment="1"/>
    <xf numFmtId="0" fontId="8" fillId="0" borderId="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9" fontId="0" fillId="0" borderId="0" xfId="3" applyFont="1" applyBorder="1" applyAlignment="1" applyProtection="1"/>
    <xf numFmtId="2" fontId="0" fillId="0" borderId="12" xfId="0" applyNumberFormat="1" applyBorder="1"/>
    <xf numFmtId="0" fontId="0" fillId="0" borderId="16" xfId="0" applyBorder="1"/>
    <xf numFmtId="2" fontId="0" fillId="0" borderId="0" xfId="0" applyNumberFormat="1"/>
    <xf numFmtId="2" fontId="0" fillId="0" borderId="22" xfId="0" applyNumberFormat="1" applyBorder="1"/>
    <xf numFmtId="0" fontId="0" fillId="0" borderId="65" xfId="0" applyBorder="1"/>
    <xf numFmtId="0" fontId="8" fillId="0" borderId="60" xfId="0" applyFont="1" applyBorder="1"/>
    <xf numFmtId="0" fontId="8" fillId="0" borderId="0" xfId="0" applyFont="1"/>
    <xf numFmtId="10" fontId="0" fillId="0" borderId="0" xfId="0" applyNumberFormat="1"/>
    <xf numFmtId="0" fontId="0" fillId="0" borderId="15" xfId="0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1" fontId="0" fillId="0" borderId="12" xfId="0" applyNumberFormat="1" applyBorder="1" applyAlignment="1">
      <alignment horizontal="center"/>
    </xf>
    <xf numFmtId="2" fontId="6" fillId="2" borderId="1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quotePrefix="1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2" fontId="6" fillId="4" borderId="3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2" fontId="6" fillId="2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0" fontId="24" fillId="21" borderId="0" xfId="0" applyFont="1" applyFill="1"/>
    <xf numFmtId="2" fontId="6" fillId="2" borderId="11" xfId="0" applyNumberFormat="1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left" vertical="top" wrapText="1"/>
    </xf>
    <xf numFmtId="2" fontId="6" fillId="4" borderId="5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top" wrapText="1"/>
    </xf>
    <xf numFmtId="0" fontId="0" fillId="0" borderId="27" xfId="0" applyFill="1" applyBorder="1"/>
    <xf numFmtId="1" fontId="0" fillId="0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0" borderId="0" xfId="0" applyFill="1"/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4" fillId="0" borderId="0" xfId="0" applyFont="1" applyFill="1"/>
    <xf numFmtId="0" fontId="7" fillId="15" borderId="6" xfId="0" applyFont="1" applyFill="1" applyBorder="1" applyAlignment="1">
      <alignment horizontal="left" vertical="center" wrapText="1"/>
    </xf>
    <xf numFmtId="0" fontId="7" fillId="15" borderId="20" xfId="0" applyFont="1" applyFill="1" applyBorder="1" applyAlignment="1">
      <alignment horizontal="left" vertical="center" wrapText="1"/>
    </xf>
    <xf numFmtId="0" fontId="7" fillId="15" borderId="41" xfId="0" applyFont="1" applyFill="1" applyBorder="1" applyAlignment="1">
      <alignment horizontal="left" vertical="center" wrapText="1"/>
    </xf>
    <xf numFmtId="2" fontId="0" fillId="0" borderId="45" xfId="0" applyNumberFormat="1" applyBorder="1"/>
    <xf numFmtId="0" fontId="1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/>
    <xf numFmtId="9" fontId="22" fillId="0" borderId="0" xfId="3" applyBorder="1"/>
    <xf numFmtId="9" fontId="22" fillId="0" borderId="0" xfId="3"/>
    <xf numFmtId="169" fontId="22" fillId="0" borderId="0" xfId="2" applyNumberFormat="1" applyBorder="1"/>
    <xf numFmtId="169" fontId="22" fillId="0" borderId="0" xfId="2" applyNumberFormat="1"/>
    <xf numFmtId="9" fontId="16" fillId="17" borderId="60" xfId="3" applyNumberFormat="1" applyFont="1" applyFill="1" applyBorder="1" applyAlignment="1" applyProtection="1">
      <alignment horizontal="center" vertical="center"/>
    </xf>
    <xf numFmtId="9" fontId="16" fillId="2" borderId="0" xfId="0" applyNumberFormat="1" applyFont="1" applyFill="1" applyBorder="1" applyAlignment="1">
      <alignment horizontal="center" vertical="center"/>
    </xf>
    <xf numFmtId="9" fontId="16" fillId="17" borderId="35" xfId="3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1" fillId="2" borderId="56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0" fontId="6" fillId="2" borderId="11" xfId="3" applyNumberFormat="1" applyFont="1" applyFill="1" applyBorder="1" applyAlignment="1" applyProtection="1">
      <alignment horizontal="center" vertical="top" wrapText="1"/>
    </xf>
    <xf numFmtId="10" fontId="6" fillId="2" borderId="26" xfId="3" applyNumberFormat="1" applyFont="1" applyFill="1" applyBorder="1" applyAlignment="1" applyProtection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10" fontId="6" fillId="4" borderId="30" xfId="3" applyNumberFormat="1" applyFont="1" applyFill="1" applyBorder="1" applyAlignment="1" applyProtection="1">
      <alignment horizontal="center" vertical="top" wrapText="1"/>
    </xf>
    <xf numFmtId="0" fontId="0" fillId="0" borderId="34" xfId="0" applyBorder="1" applyAlignment="1">
      <alignment horizontal="center"/>
    </xf>
    <xf numFmtId="0" fontId="6" fillId="3" borderId="31" xfId="0" applyFont="1" applyFill="1" applyBorder="1" applyAlignment="1">
      <alignment horizontal="center" vertical="top" wrapText="1"/>
    </xf>
    <xf numFmtId="2" fontId="6" fillId="4" borderId="31" xfId="0" applyNumberFormat="1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top" wrapText="1"/>
    </xf>
    <xf numFmtId="0" fontId="6" fillId="11" borderId="3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10" fontId="6" fillId="2" borderId="7" xfId="3" applyNumberFormat="1" applyFont="1" applyFill="1" applyBorder="1" applyAlignment="1" applyProtection="1">
      <alignment horizontal="center" vertical="top" wrapText="1"/>
    </xf>
    <xf numFmtId="0" fontId="0" fillId="0" borderId="31" xfId="0" applyBorder="1" applyAlignment="1">
      <alignment horizontal="center"/>
    </xf>
    <xf numFmtId="0" fontId="6" fillId="5" borderId="30" xfId="0" applyFont="1" applyFill="1" applyBorder="1" applyAlignment="1">
      <alignment horizontal="center" vertical="top" wrapText="1"/>
    </xf>
    <xf numFmtId="10" fontId="6" fillId="4" borderId="31" xfId="3" applyNumberFormat="1" applyFont="1" applyFill="1" applyBorder="1" applyAlignment="1" applyProtection="1">
      <alignment horizontal="center" vertical="top" wrapText="1"/>
    </xf>
    <xf numFmtId="0" fontId="6" fillId="6" borderId="31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top" wrapText="1"/>
    </xf>
    <xf numFmtId="2" fontId="1" fillId="2" borderId="33" xfId="0" applyNumberFormat="1" applyFont="1" applyFill="1" applyBorder="1" applyAlignment="1">
      <alignment horizontal="center" vertical="top" wrapText="1"/>
    </xf>
    <xf numFmtId="0" fontId="6" fillId="8" borderId="31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top" wrapText="1"/>
    </xf>
    <xf numFmtId="10" fontId="6" fillId="2" borderId="20" xfId="3" applyNumberFormat="1" applyFont="1" applyFill="1" applyBorder="1" applyAlignment="1" applyProtection="1">
      <alignment horizontal="center" vertical="top" wrapText="1"/>
    </xf>
    <xf numFmtId="10" fontId="6" fillId="2" borderId="25" xfId="3" applyNumberFormat="1" applyFont="1" applyFill="1" applyBorder="1" applyAlignment="1" applyProtection="1">
      <alignment horizontal="center" vertical="top" wrapText="1"/>
    </xf>
    <xf numFmtId="0" fontId="6" fillId="16" borderId="30" xfId="0" applyFont="1" applyFill="1" applyBorder="1" applyAlignment="1">
      <alignment horizontal="left" vertical="center" wrapText="1"/>
    </xf>
    <xf numFmtId="10" fontId="6" fillId="2" borderId="52" xfId="3" applyNumberFormat="1" applyFont="1" applyFill="1" applyBorder="1" applyAlignment="1" applyProtection="1">
      <alignment horizontal="center" vertical="top" wrapText="1"/>
    </xf>
    <xf numFmtId="10" fontId="6" fillId="0" borderId="26" xfId="3" applyNumberFormat="1" applyFont="1" applyFill="1" applyBorder="1" applyAlignment="1" applyProtection="1">
      <alignment horizontal="center" vertical="top" wrapText="1"/>
    </xf>
    <xf numFmtId="10" fontId="6" fillId="0" borderId="42" xfId="3" applyNumberFormat="1" applyFont="1" applyFill="1" applyBorder="1" applyAlignment="1" applyProtection="1">
      <alignment horizontal="center" vertical="top" wrapText="1"/>
    </xf>
    <xf numFmtId="10" fontId="6" fillId="0" borderId="36" xfId="3" applyNumberFormat="1" applyFont="1" applyFill="1" applyBorder="1" applyAlignment="1" applyProtection="1">
      <alignment horizontal="center" vertical="top" wrapText="1"/>
    </xf>
    <xf numFmtId="10" fontId="6" fillId="4" borderId="34" xfId="3" applyNumberFormat="1" applyFont="1" applyFill="1" applyBorder="1" applyAlignment="1" applyProtection="1">
      <alignment horizontal="center" vertical="top" wrapText="1"/>
    </xf>
    <xf numFmtId="10" fontId="6" fillId="2" borderId="67" xfId="3" applyNumberFormat="1" applyFont="1" applyFill="1" applyBorder="1" applyAlignment="1" applyProtection="1">
      <alignment horizontal="center" vertical="top" wrapText="1"/>
    </xf>
    <xf numFmtId="10" fontId="6" fillId="2" borderId="21" xfId="3" applyNumberFormat="1" applyFont="1" applyFill="1" applyBorder="1" applyAlignment="1" applyProtection="1">
      <alignment horizontal="center" vertical="top" wrapText="1"/>
    </xf>
    <xf numFmtId="0" fontId="6" fillId="14" borderId="30" xfId="0" applyFont="1" applyFill="1" applyBorder="1" applyAlignment="1">
      <alignment horizontal="left" vertical="center" wrapText="1"/>
    </xf>
    <xf numFmtId="10" fontId="6" fillId="2" borderId="61" xfId="3" applyNumberFormat="1" applyFont="1" applyFill="1" applyBorder="1" applyAlignment="1" applyProtection="1">
      <alignment horizontal="center" vertical="top" wrapText="1"/>
    </xf>
    <xf numFmtId="0" fontId="6" fillId="15" borderId="3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left" vertical="center" wrapText="1"/>
    </xf>
    <xf numFmtId="0" fontId="6" fillId="13" borderId="30" xfId="0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0" fontId="6" fillId="2" borderId="30" xfId="3" applyNumberFormat="1" applyFont="1" applyFill="1" applyBorder="1" applyAlignment="1" applyProtection="1">
      <alignment horizontal="center" vertical="top" wrapText="1"/>
    </xf>
    <xf numFmtId="0" fontId="6" fillId="7" borderId="30" xfId="0" applyFont="1" applyFill="1" applyBorder="1" applyAlignment="1">
      <alignment horizontal="center" vertical="top" wrapText="1"/>
    </xf>
    <xf numFmtId="2" fontId="1" fillId="2" borderId="27" xfId="0" applyNumberFormat="1" applyFont="1" applyFill="1" applyBorder="1" applyAlignment="1">
      <alignment horizontal="center" vertical="top" wrapText="1"/>
    </xf>
    <xf numFmtId="10" fontId="6" fillId="4" borderId="2" xfId="3" applyNumberFormat="1" applyFont="1" applyFill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10" fontId="6" fillId="4" borderId="47" xfId="3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0" fontId="6" fillId="2" borderId="24" xfId="3" applyNumberFormat="1" applyFont="1" applyFill="1" applyBorder="1" applyAlignment="1" applyProtection="1">
      <alignment horizontal="center" vertical="top" wrapText="1"/>
    </xf>
    <xf numFmtId="10" fontId="6" fillId="2" borderId="48" xfId="3" applyNumberFormat="1" applyFont="1" applyFill="1" applyBorder="1" applyAlignment="1" applyProtection="1">
      <alignment horizontal="center" vertical="top" wrapText="1"/>
    </xf>
    <xf numFmtId="0" fontId="6" fillId="2" borderId="38" xfId="0" applyFont="1" applyFill="1" applyBorder="1" applyAlignment="1">
      <alignment horizontal="center" vertical="center" wrapText="1"/>
    </xf>
    <xf numFmtId="9" fontId="6" fillId="2" borderId="42" xfId="3" applyFont="1" applyFill="1" applyBorder="1" applyAlignment="1" applyProtection="1">
      <alignment horizontal="center" vertical="top" wrapText="1"/>
    </xf>
    <xf numFmtId="9" fontId="6" fillId="4" borderId="31" xfId="0" applyNumberFormat="1" applyFont="1" applyFill="1" applyBorder="1" applyAlignment="1">
      <alignment horizontal="center" vertical="top" wrapText="1"/>
    </xf>
    <xf numFmtId="2" fontId="6" fillId="2" borderId="31" xfId="0" applyNumberFormat="1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37" xfId="0" applyNumberFormat="1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left" vertical="top" wrapText="1"/>
    </xf>
    <xf numFmtId="10" fontId="6" fillId="4" borderId="26" xfId="3" applyNumberFormat="1" applyFont="1" applyFill="1" applyBorder="1" applyAlignment="1" applyProtection="1">
      <alignment horizontal="center" vertical="top" wrapText="1"/>
    </xf>
    <xf numFmtId="0" fontId="0" fillId="0" borderId="32" xfId="0" applyBorder="1" applyAlignment="1">
      <alignment horizontal="center"/>
    </xf>
    <xf numFmtId="10" fontId="6" fillId="4" borderId="21" xfId="3" applyNumberFormat="1" applyFont="1" applyFill="1" applyBorder="1" applyAlignment="1" applyProtection="1">
      <alignment horizontal="center" vertical="top" wrapText="1"/>
    </xf>
    <xf numFmtId="0" fontId="0" fillId="0" borderId="46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2" fontId="6" fillId="2" borderId="37" xfId="0" applyNumberFormat="1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6" fillId="9" borderId="30" xfId="0" applyFont="1" applyFill="1" applyBorder="1" applyAlignment="1">
      <alignment horizontal="center" vertical="top" wrapText="1"/>
    </xf>
    <xf numFmtId="0" fontId="6" fillId="10" borderId="30" xfId="0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6" fillId="11" borderId="30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10" fontId="6" fillId="2" borderId="42" xfId="3" applyNumberFormat="1" applyFont="1" applyFill="1" applyBorder="1" applyAlignment="1" applyProtection="1">
      <alignment horizontal="center" vertical="top" wrapText="1"/>
    </xf>
    <xf numFmtId="10" fontId="6" fillId="2" borderId="36" xfId="3" applyNumberFormat="1" applyFont="1" applyFill="1" applyBorder="1" applyAlignment="1" applyProtection="1">
      <alignment horizontal="center" vertical="top" wrapText="1"/>
    </xf>
    <xf numFmtId="10" fontId="6" fillId="4" borderId="46" xfId="3" applyNumberFormat="1" applyFont="1" applyFill="1" applyBorder="1" applyAlignment="1" applyProtection="1">
      <alignment horizontal="center" vertical="top" wrapText="1"/>
    </xf>
    <xf numFmtId="0" fontId="0" fillId="0" borderId="60" xfId="0" applyBorder="1" applyAlignment="1">
      <alignment horizontal="center"/>
    </xf>
    <xf numFmtId="10" fontId="6" fillId="4" borderId="42" xfId="3" applyNumberFormat="1" applyFont="1" applyFill="1" applyBorder="1" applyAlignment="1" applyProtection="1">
      <alignment horizontal="center" vertical="top" wrapText="1"/>
    </xf>
    <xf numFmtId="10" fontId="6" fillId="4" borderId="41" xfId="3" applyNumberFormat="1" applyFont="1" applyFill="1" applyBorder="1" applyAlignment="1" applyProtection="1">
      <alignment horizontal="center" vertical="top" wrapText="1"/>
    </xf>
    <xf numFmtId="0" fontId="6" fillId="6" borderId="30" xfId="0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0" fontId="6" fillId="2" borderId="19" xfId="3" applyNumberFormat="1" applyFont="1" applyFill="1" applyBorder="1" applyAlignment="1" applyProtection="1">
      <alignment horizontal="center" vertical="top" wrapText="1"/>
    </xf>
    <xf numFmtId="10" fontId="6" fillId="2" borderId="14" xfId="3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0" fontId="0" fillId="2" borderId="0" xfId="3" applyNumberFormat="1" applyFont="1" applyFill="1" applyBorder="1" applyAlignment="1" applyProtection="1">
      <alignment horizontal="center"/>
    </xf>
    <xf numFmtId="0" fontId="6" fillId="2" borderId="7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0" fontId="6" fillId="2" borderId="0" xfId="3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10" fontId="1" fillId="2" borderId="0" xfId="3" applyNumberFormat="1" applyFont="1" applyFill="1" applyBorder="1" applyAlignment="1" applyProtection="1">
      <alignment horizontal="center" vertical="top" wrapText="1"/>
    </xf>
    <xf numFmtId="10" fontId="6" fillId="2" borderId="46" xfId="3" applyNumberFormat="1" applyFont="1" applyFill="1" applyBorder="1" applyAlignment="1" applyProtection="1">
      <alignment horizontal="center" vertical="top" wrapText="1"/>
    </xf>
    <xf numFmtId="10" fontId="6" fillId="2" borderId="60" xfId="3" applyNumberFormat="1" applyFont="1" applyFill="1" applyBorder="1" applyAlignment="1" applyProtection="1">
      <alignment horizontal="center" vertical="top" wrapText="1"/>
    </xf>
    <xf numFmtId="10" fontId="6" fillId="2" borderId="6" xfId="3" applyNumberFormat="1" applyFont="1" applyFill="1" applyBorder="1" applyAlignment="1" applyProtection="1">
      <alignment horizontal="center" vertical="top" wrapText="1"/>
    </xf>
    <xf numFmtId="10" fontId="6" fillId="2" borderId="41" xfId="3" applyNumberFormat="1" applyFont="1" applyFill="1" applyBorder="1" applyAlignment="1" applyProtection="1">
      <alignment horizontal="center" vertical="top" wrapText="1"/>
    </xf>
    <xf numFmtId="10" fontId="6" fillId="2" borderId="32" xfId="3" applyNumberFormat="1" applyFont="1" applyFill="1" applyBorder="1" applyAlignment="1" applyProtection="1">
      <alignment horizontal="center" vertical="top" wrapText="1"/>
    </xf>
    <xf numFmtId="9" fontId="6" fillId="2" borderId="61" xfId="3" applyFont="1" applyFill="1" applyBorder="1" applyAlignment="1" applyProtection="1">
      <alignment horizontal="center" vertical="top" wrapText="1"/>
    </xf>
    <xf numFmtId="9" fontId="6" fillId="4" borderId="34" xfId="3" applyFont="1" applyFill="1" applyBorder="1" applyAlignment="1" applyProtection="1">
      <alignment horizontal="center" vertical="top" wrapText="1"/>
    </xf>
    <xf numFmtId="0" fontId="6" fillId="12" borderId="47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top" wrapText="1"/>
    </xf>
    <xf numFmtId="10" fontId="4" fillId="17" borderId="30" xfId="3" applyNumberFormat="1" applyFont="1" applyFill="1" applyBorder="1" applyAlignment="1" applyProtection="1">
      <alignment horizontal="center" vertical="top" wrapText="1"/>
    </xf>
    <xf numFmtId="0" fontId="1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20" borderId="30" xfId="0" applyNumberFormat="1" applyFont="1" applyFill="1" applyBorder="1" applyAlignment="1">
      <alignment horizontal="center" vertical="center" wrapText="1"/>
    </xf>
    <xf numFmtId="2" fontId="4" fillId="20" borderId="46" xfId="0" applyNumberFormat="1" applyFont="1" applyFill="1" applyBorder="1" applyAlignment="1">
      <alignment horizontal="center" vertical="center" wrapText="1"/>
    </xf>
    <xf numFmtId="2" fontId="4" fillId="20" borderId="60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top" wrapText="1"/>
    </xf>
    <xf numFmtId="10" fontId="4" fillId="17" borderId="31" xfId="3" applyNumberFormat="1" applyFont="1" applyFill="1" applyBorder="1" applyAlignment="1" applyProtection="1">
      <alignment horizontal="center" vertical="top" wrapText="1"/>
    </xf>
    <xf numFmtId="0" fontId="4" fillId="3" borderId="31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0" fontId="4" fillId="17" borderId="2" xfId="3" applyNumberFormat="1" applyFont="1" applyFill="1" applyBorder="1" applyAlignment="1" applyProtection="1">
      <alignment horizontal="center" vertical="top" wrapText="1"/>
    </xf>
    <xf numFmtId="2" fontId="4" fillId="2" borderId="32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/>
    </xf>
    <xf numFmtId="2" fontId="4" fillId="18" borderId="31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center" wrapText="1"/>
    </xf>
    <xf numFmtId="2" fontId="4" fillId="5" borderId="31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top" wrapText="1"/>
    </xf>
    <xf numFmtId="0" fontId="4" fillId="14" borderId="3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17" borderId="46" xfId="3" applyNumberFormat="1" applyFont="1" applyFill="1" applyBorder="1" applyAlignment="1" applyProtection="1">
      <alignment horizontal="center" vertical="top" wrapText="1"/>
    </xf>
    <xf numFmtId="0" fontId="4" fillId="17" borderId="60" xfId="3" applyNumberFormat="1" applyFont="1" applyFill="1" applyBorder="1" applyAlignment="1" applyProtection="1">
      <alignment horizontal="center" vertical="top" wrapText="1"/>
    </xf>
    <xf numFmtId="0" fontId="0" fillId="0" borderId="6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0" fontId="1" fillId="17" borderId="30" xfId="3" applyNumberFormat="1" applyFont="1" applyFill="1" applyBorder="1" applyAlignment="1" applyProtection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2" fontId="6" fillId="5" borderId="31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/>
    </xf>
    <xf numFmtId="2" fontId="6" fillId="18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14" borderId="3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4672A8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8064A2"/>
      <rgbColor rgb="FF9BBB59"/>
      <rgbColor rgb="FF003366"/>
      <rgbColor rgb="FF4BACC6"/>
      <rgbColor rgb="FF003300"/>
      <rgbColor rgb="FF333300"/>
      <rgbColor rgb="FF993300"/>
      <rgbColor rgb="FFC0504D"/>
      <rgbColor rgb="FF4F81B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800" b="1" i="0" baseline="0">
                <a:effectLst/>
              </a:rPr>
              <a:t>Percentual de Aluno Equivalente, Eficiencia na Qualidade Acadêmico-Científica e Participação no rateio de OCC da UNIR  por Campus - ANO 2016</a:t>
            </a:r>
            <a:endParaRPr lang="pt-BR">
              <a:effectLst/>
            </a:endParaRPr>
          </a:p>
        </c:rich>
      </c:tx>
      <c:layout/>
      <c:overlay val="0"/>
    </c:title>
    <c:autoTitleDeleted val="0"/>
    <c:view3D>
      <c:rotX val="16"/>
      <c:rotY val="19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'Q. SÍNTESE COM FATOR DE COR.'!$A$56</c:f>
              <c:strCache>
                <c:ptCount val="1"/>
                <c:pt idx="0">
                  <c:v>%TAEu</c:v>
                </c:pt>
              </c:strCache>
            </c:strRef>
          </c:tx>
          <c:invertIfNegative val="1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COR.'!$B$56:$I$56</c:f>
              <c:numCache>
                <c:formatCode>0.00%</c:formatCode>
                <c:ptCount val="8"/>
                <c:pt idx="0">
                  <c:v>0.10160190121469076</c:v>
                </c:pt>
                <c:pt idx="1">
                  <c:v>6.0777076568787287E-2</c:v>
                </c:pt>
                <c:pt idx="2">
                  <c:v>0.10626746165710521</c:v>
                </c:pt>
                <c:pt idx="3">
                  <c:v>0.162595990592664</c:v>
                </c:pt>
                <c:pt idx="4">
                  <c:v>7.3747149111244636E-2</c:v>
                </c:pt>
                <c:pt idx="5">
                  <c:v>2.7520094168190946E-2</c:v>
                </c:pt>
                <c:pt idx="6">
                  <c:v>2.5435655937900876E-2</c:v>
                </c:pt>
                <c:pt idx="7">
                  <c:v>0.48037093617605409</c:v>
                </c:pt>
              </c:numCache>
            </c:numRef>
          </c:val>
        </c:ser>
        <c:ser>
          <c:idx val="1"/>
          <c:order val="1"/>
          <c:tx>
            <c:strRef>
              <c:f>'Q. SÍNTESE COM FATOR DE COR.'!$A$57</c:f>
              <c:strCache>
                <c:ptCount val="1"/>
                <c:pt idx="0">
                  <c:v>%EQR</c:v>
                </c:pt>
              </c:strCache>
            </c:strRef>
          </c:tx>
          <c:invertIfNegative val="1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COR.'!$B$57:$I$57</c:f>
              <c:numCache>
                <c:formatCode>0.00%</c:formatCode>
                <c:ptCount val="8"/>
                <c:pt idx="0">
                  <c:v>0.11723470353566658</c:v>
                </c:pt>
                <c:pt idx="1">
                  <c:v>0.11716170364036917</c:v>
                </c:pt>
                <c:pt idx="2">
                  <c:v>0.1272720852399451</c:v>
                </c:pt>
                <c:pt idx="3">
                  <c:v>0.14644248577864696</c:v>
                </c:pt>
                <c:pt idx="4">
                  <c:v>0.1044178380512804</c:v>
                </c:pt>
                <c:pt idx="5">
                  <c:v>9.5563641016747206E-2</c:v>
                </c:pt>
                <c:pt idx="6">
                  <c:v>0.11971536277610569</c:v>
                </c:pt>
                <c:pt idx="7">
                  <c:v>0.17219217996123876</c:v>
                </c:pt>
              </c:numCache>
            </c:numRef>
          </c:val>
        </c:ser>
        <c:ser>
          <c:idx val="2"/>
          <c:order val="2"/>
          <c:tx>
            <c:strRef>
              <c:f>'Q. SÍNTESE COM FATOR DE COR.'!$A$58</c:f>
              <c:strCache>
                <c:ptCount val="1"/>
                <c:pt idx="0">
                  <c:v>%PART</c:v>
                </c:pt>
              </c:strCache>
            </c:strRef>
          </c:tx>
          <c:invertIfNegative val="1"/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COR.'!$B$58:$I$58</c:f>
              <c:numCache>
                <c:formatCode>0.00%</c:formatCode>
                <c:ptCount val="8"/>
                <c:pt idx="0">
                  <c:v>0.10316518144678835</c:v>
                </c:pt>
                <c:pt idx="1">
                  <c:v>6.6415539275945484E-2</c:v>
                </c:pt>
                <c:pt idx="2">
                  <c:v>0.10836792401538919</c:v>
                </c:pt>
                <c:pt idx="3">
                  <c:v>0.16098064011126231</c:v>
                </c:pt>
                <c:pt idx="4">
                  <c:v>7.6814218005248222E-2</c:v>
                </c:pt>
                <c:pt idx="5">
                  <c:v>3.4324448853046571E-2</c:v>
                </c:pt>
                <c:pt idx="6">
                  <c:v>3.4863626621721357E-2</c:v>
                </c:pt>
                <c:pt idx="7">
                  <c:v>0.41987673733198061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0890880"/>
        <c:axId val="243782784"/>
        <c:axId val="0"/>
      </c:bar3DChart>
      <c:catAx>
        <c:axId val="230890880"/>
        <c:scaling>
          <c:orientation val="minMax"/>
        </c:scaling>
        <c:delete val="0"/>
        <c:axPos val="b"/>
        <c:majorTickMark val="none"/>
        <c:minorTickMark val="none"/>
        <c:tickLblPos val="low"/>
        <c:crossAx val="243782784"/>
        <c:crosses val="autoZero"/>
        <c:auto val="1"/>
        <c:lblAlgn val="ctr"/>
        <c:lblOffset val="100"/>
        <c:noMultiLvlLbl val="1"/>
      </c:catAx>
      <c:valAx>
        <c:axId val="2437827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30890880"/>
        <c:crossesAt val="0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Percentual de Aluno Equivalente, Eficiencia na Qualidade Acadêmico-Científica e Participação no rateio de OCC da UNIR  por Núcleo - ANO 2015</a:t>
            </a:r>
          </a:p>
        </c:rich>
      </c:tx>
      <c:overlay val="1"/>
    </c:title>
    <c:autoTitleDeleted val="0"/>
    <c:view3D>
      <c:rotX val="16"/>
      <c:rotY val="19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'Q. SÍNTESE COM FATOR DE COR.'!$A$63</c:f>
              <c:strCache>
                <c:ptCount val="1"/>
                <c:pt idx="0">
                  <c:v>%TAEu</c:v>
                </c:pt>
              </c:strCache>
            </c:strRef>
          </c:tx>
          <c:invertIfNegative val="1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COR.'!$B$63:$F$63</c:f>
              <c:numCache>
                <c:formatCode>0.00%</c:formatCode>
                <c:ptCount val="5"/>
                <c:pt idx="0">
                  <c:v>0.19330623933277868</c:v>
                </c:pt>
                <c:pt idx="1">
                  <c:v>0.12011759836375664</c:v>
                </c:pt>
                <c:pt idx="2">
                  <c:v>0.15612343473260515</c:v>
                </c:pt>
                <c:pt idx="3">
                  <c:v>0.19440803761754061</c:v>
                </c:pt>
                <c:pt idx="4">
                  <c:v>0.32089709366856983</c:v>
                </c:pt>
              </c:numCache>
            </c:numRef>
          </c:val>
        </c:ser>
        <c:ser>
          <c:idx val="1"/>
          <c:order val="1"/>
          <c:tx>
            <c:strRef>
              <c:f>'Q. SÍNTESE COM FATOR DE COR.'!$A$64</c:f>
              <c:strCache>
                <c:ptCount val="1"/>
                <c:pt idx="0">
                  <c:v>%EQR</c:v>
                </c:pt>
              </c:strCache>
            </c:strRef>
          </c:tx>
          <c:invertIfNegative val="1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COR.'!$B$64:$F$64</c:f>
              <c:numCache>
                <c:formatCode>0.00%</c:formatCode>
                <c:ptCount val="5"/>
                <c:pt idx="0">
                  <c:v>0.19053898768067867</c:v>
                </c:pt>
                <c:pt idx="1">
                  <c:v>0.21765334499215239</c:v>
                </c:pt>
                <c:pt idx="2">
                  <c:v>0.25353096643949691</c:v>
                </c:pt>
                <c:pt idx="3">
                  <c:v>0.1023505225359245</c:v>
                </c:pt>
                <c:pt idx="4">
                  <c:v>0.23592617835174753</c:v>
                </c:pt>
              </c:numCache>
            </c:numRef>
          </c:val>
        </c:ser>
        <c:ser>
          <c:idx val="2"/>
          <c:order val="2"/>
          <c:tx>
            <c:strRef>
              <c:f>'Q. SÍNTESE COM FATOR DE COR.'!$A$65</c:f>
              <c:strCache>
                <c:ptCount val="1"/>
                <c:pt idx="0">
                  <c:v>%PART</c:v>
                </c:pt>
              </c:strCache>
            </c:strRef>
          </c:tx>
          <c:invertIfNegative val="1"/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COR.'!$B$65:$F$65</c:f>
              <c:numCache>
                <c:formatCode>0.00%</c:formatCode>
                <c:ptCount val="5"/>
                <c:pt idx="0">
                  <c:v>0.19302951416756869</c:v>
                </c:pt>
                <c:pt idx="1">
                  <c:v>0.12987117302659623</c:v>
                </c:pt>
                <c:pt idx="2">
                  <c:v>0.16586418790329432</c:v>
                </c:pt>
                <c:pt idx="3">
                  <c:v>0.185202286109379</c:v>
                </c:pt>
                <c:pt idx="4">
                  <c:v>0.31240000213688762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920256"/>
        <c:axId val="232400000"/>
        <c:axId val="0"/>
      </c:bar3DChart>
      <c:catAx>
        <c:axId val="243920256"/>
        <c:scaling>
          <c:orientation val="minMax"/>
        </c:scaling>
        <c:delete val="0"/>
        <c:axPos val="b"/>
        <c:majorTickMark val="out"/>
        <c:minorTickMark val="none"/>
        <c:tickLblPos val="low"/>
        <c:crossAx val="232400000"/>
        <c:crosses val="autoZero"/>
        <c:auto val="1"/>
        <c:lblAlgn val="ctr"/>
        <c:lblOffset val="100"/>
        <c:noMultiLvlLbl val="1"/>
      </c:catAx>
      <c:valAx>
        <c:axId val="2324000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3920256"/>
        <c:crossesAt val="0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pt-BR" sz="1200" b="1">
                <a:solidFill>
                  <a:sysClr val="windowText" lastClr="000000"/>
                </a:solidFill>
                <a:latin typeface="Arial"/>
                <a:ea typeface="Arial"/>
              </a:rPr>
              <a:t>Percentual de Participação no Rateio de OCC UNIR-2016 por Campus</a:t>
            </a:r>
          </a:p>
        </c:rich>
      </c:tx>
      <c:layout>
        <c:manualLayout>
          <c:xMode val="edge"/>
          <c:yMode val="edge"/>
          <c:x val="0.19387739719256622"/>
          <c:y val="4.880588046227588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'Q. SÍNTESE COM FATOR DE COR.'!$A$58</c:f>
              <c:strCache>
                <c:ptCount val="1"/>
                <c:pt idx="0">
                  <c:v>%PART</c:v>
                </c:pt>
              </c:strCache>
            </c:strRef>
          </c:tx>
          <c:spPr>
            <a:solidFill>
              <a:srgbClr val="9999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672A8"/>
              </a:solidFill>
              <a:ln w="2556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2556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2556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2556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2556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2556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2556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25560">
                <a:noFill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4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5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6"/>
              <c:layout>
                <c:manualLayout>
                  <c:x val="0"/>
                  <c:y val="-2.8839838454981205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dLbl>
              <c:idx val="7"/>
              <c:layout>
                <c:manualLayout>
                  <c:x val="0"/>
                  <c:y val="-1.331069467152978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'Q. SÍNTESE COM FATOR DE COR.'!$B$55:$I$55</c:f>
              <c:strCache>
                <c:ptCount val="8"/>
                <c:pt idx="0">
                  <c:v>CACOAL</c:v>
                </c:pt>
                <c:pt idx="1">
                  <c:v>GUAJARÁ-MIRIM</c:v>
                </c:pt>
                <c:pt idx="2">
                  <c:v>JÍ-PARANÁ</c:v>
                </c:pt>
                <c:pt idx="3">
                  <c:v>ROLIM DE MOURA</c:v>
                </c:pt>
                <c:pt idx="4">
                  <c:v>VILHENA</c:v>
                </c:pt>
                <c:pt idx="5">
                  <c:v>ARIQUEMES</c:v>
                </c:pt>
                <c:pt idx="6">
                  <c:v>PRESIDENTE MÉDICE</c:v>
                </c:pt>
                <c:pt idx="7">
                  <c:v>PORTO VELHO</c:v>
                </c:pt>
              </c:strCache>
            </c:strRef>
          </c:cat>
          <c:val>
            <c:numRef>
              <c:f>'Q. SÍNTESE COM FATOR DE COR.'!$B$58:$I$58</c:f>
              <c:numCache>
                <c:formatCode>0.00%</c:formatCode>
                <c:ptCount val="8"/>
                <c:pt idx="0">
                  <c:v>0.10316518144678835</c:v>
                </c:pt>
                <c:pt idx="1">
                  <c:v>6.6415539275945484E-2</c:v>
                </c:pt>
                <c:pt idx="2">
                  <c:v>0.10836792401538919</c:v>
                </c:pt>
                <c:pt idx="3">
                  <c:v>0.16098064011126231</c:v>
                </c:pt>
                <c:pt idx="4">
                  <c:v>7.6814218005248222E-2</c:v>
                </c:pt>
                <c:pt idx="5">
                  <c:v>3.4324448853046571E-2</c:v>
                </c:pt>
                <c:pt idx="6">
                  <c:v>3.4863626621721357E-2</c:v>
                </c:pt>
                <c:pt idx="7">
                  <c:v>0.41987673733198061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2453248"/>
        <c:axId val="232454784"/>
      </c:barChart>
      <c:catAx>
        <c:axId val="23245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32454784"/>
        <c:crosses val="autoZero"/>
        <c:auto val="1"/>
        <c:lblAlgn val="ctr"/>
        <c:lblOffset val="100"/>
        <c:noMultiLvlLbl val="0"/>
      </c:catAx>
      <c:valAx>
        <c:axId val="232454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2453248"/>
        <c:crosses val="autoZero"/>
        <c:crossBetween val="between"/>
      </c:valAx>
      <c:spPr>
        <a:solidFill>
          <a:srgbClr val="D9D9D9"/>
        </a:solidFill>
        <a:ln>
          <a:noFill/>
        </a:ln>
      </c:spPr>
    </c:plotArea>
    <c:plotVisOnly val="1"/>
    <c:dispBlanksAs val="zero"/>
    <c:showDLblsOverMax val="1"/>
  </c:chart>
  <c:spPr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pt-BR" sz="1200" b="1">
                <a:solidFill>
                  <a:sysClr val="windowText" lastClr="000000"/>
                </a:solidFill>
                <a:latin typeface="Arial"/>
                <a:ea typeface="Arial"/>
              </a:rPr>
              <a:t>Percentual de Participação no Rateio de OCC UNIR-2014 por Núcleo</a:t>
            </a:r>
          </a:p>
        </c:rich>
      </c:tx>
      <c:layout>
        <c:manualLayout>
          <c:xMode val="edge"/>
          <c:yMode val="edge"/>
          <c:x val="0.18103360846221653"/>
          <c:y val="4.5939232226509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03644522798302"/>
          <c:y val="0.1124820355000751"/>
          <c:w val="0.61164375350588984"/>
          <c:h val="0.86226689530603051"/>
        </c:manualLayout>
      </c:layout>
      <c:pieChart>
        <c:varyColors val="1"/>
        <c:ser>
          <c:idx val="0"/>
          <c:order val="0"/>
          <c:tx>
            <c:strRef>
              <c:f>'Q. SÍNTESE COM FATOR DE COR.'!$A$65</c:f>
              <c:strCache>
                <c:ptCount val="1"/>
                <c:pt idx="0">
                  <c:v>%PART</c:v>
                </c:pt>
              </c:strCache>
            </c:strRef>
          </c:tx>
          <c:spPr>
            <a:ln w="12600">
              <a:solidFill>
                <a:srgbClr val="000000"/>
              </a:solidFill>
              <a:round/>
            </a:ln>
          </c:spPr>
          <c:explosion val="5"/>
          <c:dPt>
            <c:idx val="0"/>
            <c:bubble3D val="0"/>
            <c:explosion val="4"/>
            <c:spPr>
              <a:solidFill>
                <a:srgbClr val="4F81BD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12600">
                <a:solidFill>
                  <a:srgbClr val="000000"/>
                </a:solidFill>
                <a:round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 w="12600">
                <a:solidFill>
                  <a:srgbClr val="000000"/>
                </a:solidFill>
                <a:round/>
              </a:ln>
            </c:spPr>
          </c:dPt>
          <c:dLbls>
            <c:dLbl>
              <c:idx val="0"/>
              <c:dLblPos val="ctr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</c:dLbl>
            <c:dLbl>
              <c:idx val="1"/>
              <c:dLblPos val="ctr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</c:dLbl>
            <c:dLbl>
              <c:idx val="2"/>
              <c:dLblPos val="ctr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</c:dLbl>
            <c:dLbl>
              <c:idx val="3"/>
              <c:dLblPos val="ctr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</c:dLbl>
            <c:dLbl>
              <c:idx val="4"/>
              <c:dLblPos val="ctr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</c:dLbl>
            <c:showLegendKey val="0"/>
            <c:showVal val="0"/>
            <c:showCatName val="1"/>
            <c:showSerName val="0"/>
            <c:showPercent val="1"/>
            <c:showBubbleSize val="1"/>
            <c:showLeaderLines val="1"/>
          </c:dLbls>
          <c:cat>
            <c:strRef>
              <c:f>'Q. SÍNTESE COM FATOR DE COR.'!$B$62:$F$62</c:f>
              <c:strCache>
                <c:ptCount val="5"/>
                <c:pt idx="0">
                  <c:v>NUCSA</c:v>
                </c:pt>
                <c:pt idx="1">
                  <c:v>NT</c:v>
                </c:pt>
                <c:pt idx="2">
                  <c:v>NCET</c:v>
                </c:pt>
                <c:pt idx="3">
                  <c:v>NCH</c:v>
                </c:pt>
                <c:pt idx="4">
                  <c:v>NUSAU</c:v>
                </c:pt>
              </c:strCache>
            </c:strRef>
          </c:cat>
          <c:val>
            <c:numRef>
              <c:f>'Q. SÍNTESE COM FATOR DE COR.'!$B$65:$F$65</c:f>
              <c:numCache>
                <c:formatCode>0.00%</c:formatCode>
                <c:ptCount val="5"/>
                <c:pt idx="0">
                  <c:v>0.19302951416756869</c:v>
                </c:pt>
                <c:pt idx="1">
                  <c:v>0.12987117302659623</c:v>
                </c:pt>
                <c:pt idx="2">
                  <c:v>0.16586418790329432</c:v>
                </c:pt>
                <c:pt idx="3">
                  <c:v>0.185202286109379</c:v>
                </c:pt>
                <c:pt idx="4">
                  <c:v>0.31240000213688762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24840</xdr:colOff>
      <xdr:row>0</xdr:row>
      <xdr:rowOff>0</xdr:rowOff>
    </xdr:from>
    <xdr:to>
      <xdr:col>16</xdr:col>
      <xdr:colOff>33480</xdr:colOff>
      <xdr:row>34</xdr:row>
      <xdr:rowOff>89640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15</xdr:col>
      <xdr:colOff>169560</xdr:colOff>
      <xdr:row>34</xdr:row>
      <xdr:rowOff>92520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14</xdr:col>
      <xdr:colOff>118800</xdr:colOff>
      <xdr:row>36</xdr:row>
      <xdr:rowOff>9720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98438</xdr:colOff>
      <xdr:row>0</xdr:row>
      <xdr:rowOff>39689</xdr:rowOff>
    </xdr:from>
    <xdr:to>
      <xdr:col>13</xdr:col>
      <xdr:colOff>555625</xdr:colOff>
      <xdr:row>37</xdr:row>
      <xdr:rowOff>79377</xdr:rowOff>
    </xdr:to>
    <xdr:graphicFrame macro="">
      <xdr:nvGraphicFramePr>
        <xdr:cNvPr id="3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4"/>
  <sheetViews>
    <sheetView tabSelected="1" topLeftCell="D1" zoomScaleNormal="100" zoomScaleSheetLayoutView="100" zoomScalePageLayoutView="120" workbookViewId="0">
      <selection activeCell="L13" sqref="L13"/>
    </sheetView>
  </sheetViews>
  <sheetFormatPr defaultRowHeight="12.75" x14ac:dyDescent="0.2"/>
  <cols>
    <col min="1" max="1" width="1.28515625"/>
    <col min="2" max="2" width="0.5703125"/>
    <col min="3" max="3" width="1.140625"/>
    <col min="4" max="4" width="16.28515625"/>
    <col min="5" max="5" width="0.42578125"/>
    <col min="6" max="6" width="32.7109375"/>
    <col min="7" max="7" width="0.140625"/>
    <col min="8" max="8" width="6.42578125"/>
    <col min="9" max="9" width="0.140625"/>
    <col min="10" max="10" width="6.42578125"/>
    <col min="11" max="11" width="0.140625"/>
    <col min="12" max="12" width="6.42578125"/>
    <col min="13" max="13" width="0.140625"/>
    <col min="14" max="14" width="7"/>
    <col min="15" max="15" width="6.85546875"/>
    <col min="16" max="16" width="6.42578125"/>
    <col min="17" max="17" width="0.140625"/>
    <col min="18" max="18" width="6.42578125"/>
    <col min="19" max="19" width="15.85546875" customWidth="1"/>
    <col min="20" max="20" width="5.85546875"/>
    <col min="21" max="21" width="0.7109375"/>
    <col min="22" max="22" width="1.7109375"/>
    <col min="23" max="23" width="2.140625"/>
    <col min="24" max="24" width="13.140625"/>
    <col min="25" max="25" width="7.7109375" style="1"/>
    <col min="26" max="26" width="14.7109375" style="2"/>
    <col min="27" max="27" width="14.7109375"/>
    <col min="28" max="28" width="16.5703125"/>
    <col min="29" max="1025" width="8.7109375"/>
  </cols>
  <sheetData>
    <row r="1" spans="1:28" ht="18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5"/>
      <c r="Z1" s="6"/>
    </row>
    <row r="2" spans="1:28" ht="15.75" customHeight="1" x14ac:dyDescent="0.2">
      <c r="A2" s="563" t="s">
        <v>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7"/>
      <c r="N2" s="7"/>
      <c r="O2" s="7"/>
      <c r="P2" s="4"/>
      <c r="Q2" s="4"/>
      <c r="R2" s="4"/>
      <c r="S2" s="4"/>
      <c r="T2" s="4"/>
      <c r="U2" s="4"/>
      <c r="V2" s="4"/>
      <c r="W2" s="4"/>
      <c r="X2" s="4"/>
      <c r="Y2" s="5"/>
      <c r="Z2" s="6"/>
    </row>
    <row r="3" spans="1:28" ht="15.75" customHeight="1" x14ac:dyDescent="0.2">
      <c r="A3" s="563" t="s">
        <v>412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5"/>
      <c r="Z3" s="6"/>
    </row>
    <row r="4" spans="1:28" ht="14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5"/>
      <c r="Z4" s="6"/>
      <c r="AB4" s="9"/>
    </row>
    <row r="5" spans="1:28" ht="14.1" customHeight="1" x14ac:dyDescent="0.2">
      <c r="A5" s="564" t="s">
        <v>1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10"/>
      <c r="N5" s="10"/>
      <c r="O5" s="10"/>
      <c r="P5" s="10"/>
      <c r="Q5" s="10"/>
      <c r="R5" s="565"/>
      <c r="S5" s="565"/>
      <c r="T5" s="565"/>
      <c r="U5" s="565"/>
      <c r="V5" s="565"/>
      <c r="W5" s="565"/>
      <c r="X5" s="11"/>
      <c r="Y5" s="11"/>
      <c r="Z5" s="11"/>
    </row>
    <row r="6" spans="1:28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2"/>
      <c r="S6" s="13"/>
      <c r="T6" s="13"/>
      <c r="U6" s="13"/>
      <c r="V6" s="3"/>
      <c r="W6" s="3"/>
      <c r="X6" s="11"/>
      <c r="Y6" s="11"/>
      <c r="Z6" s="11"/>
    </row>
    <row r="7" spans="1:28" ht="14.1" customHeight="1" x14ac:dyDescent="0.2">
      <c r="A7" s="3"/>
      <c r="B7" s="3"/>
      <c r="C7" s="504" t="s">
        <v>2</v>
      </c>
      <c r="D7" s="504"/>
      <c r="E7" s="504"/>
      <c r="F7" s="504"/>
      <c r="G7" s="504"/>
      <c r="H7" s="504"/>
      <c r="I7" s="504"/>
      <c r="J7" s="504"/>
      <c r="K7" s="14"/>
      <c r="L7" s="14"/>
      <c r="M7" s="14"/>
      <c r="N7" s="14"/>
      <c r="O7" s="14"/>
      <c r="P7" s="14"/>
      <c r="Q7" s="14"/>
      <c r="R7" s="14"/>
      <c r="S7" s="14"/>
      <c r="T7" s="14"/>
      <c r="U7" s="3"/>
      <c r="V7" s="3"/>
      <c r="W7" s="3"/>
      <c r="X7" s="11"/>
      <c r="Y7" s="11"/>
      <c r="Z7" s="11"/>
      <c r="AB7" s="9"/>
    </row>
    <row r="8" spans="1:28" ht="0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1"/>
      <c r="Y8" s="11"/>
      <c r="Z8" s="11"/>
    </row>
    <row r="9" spans="1:28" ht="12" customHeight="1" x14ac:dyDescent="0.2">
      <c r="A9" s="3"/>
      <c r="B9" s="3"/>
      <c r="C9" s="3"/>
      <c r="D9" s="473" t="s">
        <v>3</v>
      </c>
      <c r="E9" s="473"/>
      <c r="F9" s="473"/>
      <c r="G9" s="47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3"/>
      <c r="X9" s="11"/>
      <c r="Y9" s="11"/>
      <c r="Z9" s="11"/>
    </row>
    <row r="10" spans="1:28" ht="3.95" customHeight="1" thickBot="1" x14ac:dyDescent="0.25">
      <c r="A10" s="3"/>
      <c r="B10" s="3"/>
      <c r="C10" s="3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17"/>
      <c r="Y10" s="17"/>
      <c r="Z10" s="17"/>
    </row>
    <row r="11" spans="1:28" ht="27" customHeight="1" x14ac:dyDescent="0.2">
      <c r="A11" s="3"/>
      <c r="B11" s="3"/>
      <c r="C11" s="3"/>
      <c r="D11" s="18" t="s">
        <v>4</v>
      </c>
      <c r="E11" s="19"/>
      <c r="F11" s="20" t="s">
        <v>5</v>
      </c>
      <c r="G11" s="19"/>
      <c r="H11" s="21" t="s">
        <v>6</v>
      </c>
      <c r="I11" s="19"/>
      <c r="J11" s="21" t="s">
        <v>7</v>
      </c>
      <c r="K11" s="19"/>
      <c r="L11" s="21" t="s">
        <v>8</v>
      </c>
      <c r="M11" s="19"/>
      <c r="N11" s="21" t="s">
        <v>9</v>
      </c>
      <c r="O11" s="21" t="s">
        <v>10</v>
      </c>
      <c r="P11" s="21" t="s">
        <v>11</v>
      </c>
      <c r="Q11" s="19"/>
      <c r="R11" s="22" t="s">
        <v>12</v>
      </c>
      <c r="S11" s="23" t="s">
        <v>13</v>
      </c>
      <c r="T11" s="537" t="s">
        <v>14</v>
      </c>
      <c r="U11" s="566"/>
      <c r="V11" s="566"/>
      <c r="W11" s="521"/>
      <c r="X11" s="389" t="s">
        <v>15</v>
      </c>
      <c r="Y11" s="25" t="s">
        <v>16</v>
      </c>
      <c r="Z11" s="26" t="s">
        <v>17</v>
      </c>
    </row>
    <row r="12" spans="1:28" ht="11.25" customHeight="1" x14ac:dyDescent="0.2">
      <c r="A12" s="3"/>
      <c r="B12" s="3"/>
      <c r="C12" s="3"/>
      <c r="D12" s="27" t="s">
        <v>18</v>
      </c>
      <c r="E12" s="382"/>
      <c r="F12" s="28" t="s">
        <v>19</v>
      </c>
      <c r="G12" s="382"/>
      <c r="H12" s="29" t="s">
        <v>20</v>
      </c>
      <c r="I12" s="382"/>
      <c r="J12" s="30">
        <v>50</v>
      </c>
      <c r="K12" s="31"/>
      <c r="L12" s="32">
        <f>7+36</f>
        <v>43</v>
      </c>
      <c r="M12" s="33"/>
      <c r="N12" s="32">
        <v>90</v>
      </c>
      <c r="O12" s="32">
        <v>116</v>
      </c>
      <c r="P12" s="34">
        <f t="shared" ref="P12:P18" si="0">MEDIAN(N12,O12)</f>
        <v>103</v>
      </c>
      <c r="Q12" s="33"/>
      <c r="R12" s="387">
        <f>8+4</f>
        <v>12</v>
      </c>
      <c r="S12" s="47">
        <f>(((R12)*(1+0.12)+((L12)-(R12))/4)*1*4*1*1.1)</f>
        <v>93.236000000000018</v>
      </c>
      <c r="T12" s="464">
        <f t="shared" ref="T12:T17" si="1">(S12/S$19)</f>
        <v>7.6604147885048587E-2</v>
      </c>
      <c r="U12" s="561"/>
      <c r="V12" s="561"/>
      <c r="W12" s="562"/>
      <c r="X12" s="555">
        <v>3</v>
      </c>
      <c r="Y12" s="557"/>
      <c r="Z12" s="559">
        <f>(X12/S224)</f>
        <v>0.9882352941176471</v>
      </c>
    </row>
    <row r="13" spans="1:28" ht="12" customHeight="1" x14ac:dyDescent="0.2">
      <c r="A13" s="3"/>
      <c r="B13" s="3"/>
      <c r="C13" s="3"/>
      <c r="D13" s="27" t="s">
        <v>18</v>
      </c>
      <c r="E13" s="382"/>
      <c r="F13" s="28" t="s">
        <v>21</v>
      </c>
      <c r="G13" s="382"/>
      <c r="H13" s="29" t="s">
        <v>22</v>
      </c>
      <c r="I13" s="382"/>
      <c r="J13" s="30">
        <v>50</v>
      </c>
      <c r="K13" s="31"/>
      <c r="L13" s="38">
        <v>47</v>
      </c>
      <c r="M13" s="31"/>
      <c r="N13" s="34">
        <v>186</v>
      </c>
      <c r="O13" s="34">
        <v>168</v>
      </c>
      <c r="P13" s="38">
        <f t="shared" si="0"/>
        <v>177</v>
      </c>
      <c r="Q13" s="31"/>
      <c r="R13" s="388">
        <f>6+18</f>
        <v>24</v>
      </c>
      <c r="S13" s="47">
        <f>(((R13)*(1+0.12)+((L13)-(R13))/4)*1*4*1.15*1.1)</f>
        <v>165.10780000000003</v>
      </c>
      <c r="T13" s="464">
        <f t="shared" si="1"/>
        <v>0.13565513673017959</v>
      </c>
      <c r="U13" s="561"/>
      <c r="V13" s="561"/>
      <c r="W13" s="562"/>
      <c r="X13" s="556"/>
      <c r="Y13" s="558"/>
      <c r="Z13" s="560"/>
    </row>
    <row r="14" spans="1:28" ht="24" customHeight="1" x14ac:dyDescent="0.2">
      <c r="A14" s="3"/>
      <c r="B14" s="3"/>
      <c r="C14" s="3"/>
      <c r="D14" s="27" t="s">
        <v>23</v>
      </c>
      <c r="E14" s="382"/>
      <c r="F14" s="28" t="s">
        <v>409</v>
      </c>
      <c r="G14" s="382"/>
      <c r="H14" s="29" t="s">
        <v>20</v>
      </c>
      <c r="I14" s="382"/>
      <c r="J14" s="30">
        <v>50</v>
      </c>
      <c r="K14" s="31"/>
      <c r="L14" s="30">
        <v>52</v>
      </c>
      <c r="M14" s="31"/>
      <c r="N14" s="34">
        <v>100</v>
      </c>
      <c r="O14" s="34">
        <v>120</v>
      </c>
      <c r="P14" s="38">
        <f t="shared" si="0"/>
        <v>110</v>
      </c>
      <c r="Q14" s="31"/>
      <c r="R14" s="39">
        <f>12+2</f>
        <v>14</v>
      </c>
      <c r="S14" s="47">
        <f>(((R14)*(1+0.12)+(((L14)-(R14))/4))*1*4*1*1.1)</f>
        <v>110.792</v>
      </c>
      <c r="T14" s="464">
        <f t="shared" si="1"/>
        <v>9.1028430568453181E-2</v>
      </c>
      <c r="U14" s="561"/>
      <c r="V14" s="561"/>
      <c r="W14" s="562"/>
      <c r="X14" s="555">
        <v>3</v>
      </c>
      <c r="Y14" s="557"/>
      <c r="Z14" s="559">
        <f>(X14/S224)</f>
        <v>0.9882352941176471</v>
      </c>
    </row>
    <row r="15" spans="1:28" ht="13.5" customHeight="1" x14ac:dyDescent="0.2">
      <c r="A15" s="3"/>
      <c r="B15" s="3"/>
      <c r="C15" s="3"/>
      <c r="D15" s="27" t="s">
        <v>23</v>
      </c>
      <c r="E15" s="382"/>
      <c r="F15" s="28" t="s">
        <v>408</v>
      </c>
      <c r="G15" s="382"/>
      <c r="H15" s="29" t="s">
        <v>22</v>
      </c>
      <c r="I15" s="382"/>
      <c r="J15" s="30">
        <v>50</v>
      </c>
      <c r="K15" s="31"/>
      <c r="L15" s="30">
        <v>46</v>
      </c>
      <c r="M15" s="31"/>
      <c r="N15" s="34">
        <v>172</v>
      </c>
      <c r="O15" s="34">
        <v>121</v>
      </c>
      <c r="P15" s="38">
        <f t="shared" si="0"/>
        <v>146.5</v>
      </c>
      <c r="Q15" s="31"/>
      <c r="R15" s="39">
        <f>29+2</f>
        <v>31</v>
      </c>
      <c r="S15" s="47">
        <f>(((R15)*(1+0.12)+(((L15)-(R15))/4))*1*4*1.15*1.1)</f>
        <v>194.65820000000002</v>
      </c>
      <c r="T15" s="464">
        <f t="shared" si="1"/>
        <v>0.15993420502635639</v>
      </c>
      <c r="U15" s="561"/>
      <c r="V15" s="561"/>
      <c r="W15" s="562"/>
      <c r="X15" s="556"/>
      <c r="Y15" s="558"/>
      <c r="Z15" s="560"/>
    </row>
    <row r="16" spans="1:28" ht="12" customHeight="1" x14ac:dyDescent="0.2">
      <c r="A16" s="3"/>
      <c r="B16" s="3"/>
      <c r="C16" s="3"/>
      <c r="D16" s="27" t="s">
        <v>24</v>
      </c>
      <c r="E16" s="382"/>
      <c r="F16" s="28" t="s">
        <v>25</v>
      </c>
      <c r="G16" s="382"/>
      <c r="H16" s="29" t="s">
        <v>20</v>
      </c>
      <c r="I16" s="382"/>
      <c r="J16" s="30">
        <v>50</v>
      </c>
      <c r="K16" s="31"/>
      <c r="L16" s="30">
        <f>31+50</f>
        <v>81</v>
      </c>
      <c r="M16" s="31"/>
      <c r="N16" s="34">
        <v>168</v>
      </c>
      <c r="O16" s="34">
        <v>206</v>
      </c>
      <c r="P16" s="38">
        <f t="shared" si="0"/>
        <v>187</v>
      </c>
      <c r="Q16" s="31"/>
      <c r="R16" s="39">
        <v>0</v>
      </c>
      <c r="S16" s="391">
        <f>(((R16)*(1+0.12)+(((L16)-(R16))/4))*1*5*1*1.1)</f>
        <v>111.37500000000001</v>
      </c>
      <c r="T16" s="464">
        <f t="shared" si="1"/>
        <v>9.150743243701237E-2</v>
      </c>
      <c r="U16" s="561"/>
      <c r="V16" s="561"/>
      <c r="W16" s="562"/>
      <c r="X16" s="555">
        <v>2</v>
      </c>
      <c r="Y16" s="557"/>
      <c r="Z16" s="559">
        <f>(X16/S224)</f>
        <v>0.6588235294117647</v>
      </c>
    </row>
    <row r="17" spans="1:28" ht="12.75" customHeight="1" x14ac:dyDescent="0.2">
      <c r="A17" s="3"/>
      <c r="B17" s="3"/>
      <c r="C17" s="3"/>
      <c r="D17" s="27" t="s">
        <v>24</v>
      </c>
      <c r="E17" s="382"/>
      <c r="F17" s="28" t="s">
        <v>26</v>
      </c>
      <c r="G17" s="382"/>
      <c r="H17" s="29" t="s">
        <v>22</v>
      </c>
      <c r="I17" s="382"/>
      <c r="J17" s="30">
        <v>50</v>
      </c>
      <c r="K17" s="31"/>
      <c r="L17" s="30">
        <f>61+2</f>
        <v>63</v>
      </c>
      <c r="M17" s="31"/>
      <c r="N17" s="34">
        <v>226</v>
      </c>
      <c r="O17" s="34">
        <v>209</v>
      </c>
      <c r="P17" s="38">
        <f t="shared" si="0"/>
        <v>217.5</v>
      </c>
      <c r="Q17" s="31"/>
      <c r="R17" s="39">
        <f>1+45</f>
        <v>46</v>
      </c>
      <c r="S17" s="391">
        <f>(((R17)*(1+0.12)+(((L17)-(R17))/4))*1*5*1.15*1.1)</f>
        <v>352.74525000000006</v>
      </c>
      <c r="T17" s="464">
        <f t="shared" si="1"/>
        <v>0.28982098434883985</v>
      </c>
      <c r="U17" s="561"/>
      <c r="V17" s="561"/>
      <c r="W17" s="562"/>
      <c r="X17" s="556"/>
      <c r="Y17" s="558"/>
      <c r="Z17" s="560"/>
      <c r="AA17" s="41"/>
      <c r="AB17" s="41"/>
    </row>
    <row r="18" spans="1:28" ht="14.25" customHeight="1" thickBot="1" x14ac:dyDescent="0.25">
      <c r="A18" s="3"/>
      <c r="B18" s="3"/>
      <c r="C18" s="3"/>
      <c r="D18" s="42" t="s">
        <v>27</v>
      </c>
      <c r="E18" s="382"/>
      <c r="F18" s="43" t="s">
        <v>28</v>
      </c>
      <c r="G18" s="382"/>
      <c r="H18" s="44" t="s">
        <v>29</v>
      </c>
      <c r="I18" s="382"/>
      <c r="J18" s="30">
        <v>0</v>
      </c>
      <c r="K18" s="31"/>
      <c r="L18" s="45">
        <v>2</v>
      </c>
      <c r="M18" s="31"/>
      <c r="N18" s="34">
        <v>90</v>
      </c>
      <c r="O18" s="34">
        <v>82</v>
      </c>
      <c r="P18" s="38">
        <f t="shared" si="0"/>
        <v>86</v>
      </c>
      <c r="Q18" s="31"/>
      <c r="R18" s="46">
        <v>0</v>
      </c>
      <c r="S18" s="47">
        <f>((P18)*2*1*1.1)</f>
        <v>189.20000000000002</v>
      </c>
      <c r="T18" s="465">
        <f>(S18/S19)</f>
        <v>0.15544966300410989</v>
      </c>
      <c r="U18" s="548"/>
      <c r="V18" s="548"/>
      <c r="W18" s="549"/>
      <c r="X18" s="390">
        <v>3</v>
      </c>
      <c r="Y18" s="49"/>
      <c r="Z18" s="55">
        <f>(X18/S224)</f>
        <v>0.9882352941176471</v>
      </c>
      <c r="AA18" s="41"/>
      <c r="AB18" s="41"/>
    </row>
    <row r="19" spans="1:28" ht="14.25" customHeight="1" thickBot="1" x14ac:dyDescent="0.25">
      <c r="A19" s="3"/>
      <c r="B19" s="3"/>
      <c r="C19" s="3"/>
      <c r="D19" s="466" t="s">
        <v>30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381">
        <f>SUM(S12:S18)</f>
        <v>1217.1142500000003</v>
      </c>
      <c r="T19" s="550">
        <f>SUM(T12:W18)</f>
        <v>0.99999999999999978</v>
      </c>
      <c r="U19" s="467"/>
      <c r="V19" s="467"/>
      <c r="W19" s="479"/>
      <c r="X19" s="551"/>
      <c r="Y19" s="477"/>
      <c r="Z19" s="477"/>
      <c r="AA19" s="41"/>
      <c r="AB19" s="41"/>
    </row>
    <row r="20" spans="1:28" ht="15" customHeight="1" thickBot="1" x14ac:dyDescent="0.25">
      <c r="A20" s="3"/>
      <c r="B20" s="3"/>
      <c r="C20" s="3"/>
      <c r="D20" s="478" t="s">
        <v>31</v>
      </c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381">
        <f>SUM(S12:S18)</f>
        <v>1217.1142500000003</v>
      </c>
      <c r="T20" s="552">
        <f>(S20/TAEj!B20)</f>
        <v>0.10160190121469076</v>
      </c>
      <c r="U20" s="533"/>
      <c r="V20" s="533"/>
      <c r="W20" s="553"/>
      <c r="X20" s="551"/>
      <c r="Y20" s="477"/>
      <c r="Z20" s="477"/>
      <c r="AA20" s="41"/>
      <c r="AB20" s="41"/>
    </row>
    <row r="21" spans="1:28" ht="15" customHeight="1" thickBot="1" x14ac:dyDescent="0.25">
      <c r="A21" s="3"/>
      <c r="B21" s="3"/>
      <c r="C21" s="3"/>
      <c r="D21" s="480" t="s">
        <v>32</v>
      </c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554"/>
      <c r="S21" s="381">
        <f>SUM(Z12:Z18)/4</f>
        <v>0.90588235294117647</v>
      </c>
      <c r="T21" s="481" t="s">
        <v>33</v>
      </c>
      <c r="U21" s="481"/>
      <c r="V21" s="481"/>
      <c r="W21" s="481"/>
      <c r="X21" s="52" t="s">
        <v>34</v>
      </c>
      <c r="Y21" s="52" t="s">
        <v>35</v>
      </c>
      <c r="Z21" s="53" t="s">
        <v>36</v>
      </c>
      <c r="AA21" s="41"/>
      <c r="AB21" s="41"/>
    </row>
    <row r="22" spans="1:28" ht="14.25" customHeight="1" x14ac:dyDescent="0.2">
      <c r="A22" s="3"/>
      <c r="B22" s="3"/>
      <c r="C22" s="3"/>
      <c r="D22" s="482" t="s">
        <v>37</v>
      </c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507"/>
      <c r="S22" s="381">
        <f>S20/SUM(T22:Z22)</f>
        <v>14.735039346246978</v>
      </c>
      <c r="T22" s="483">
        <f>(48)*1.7</f>
        <v>81.599999999999994</v>
      </c>
      <c r="U22" s="483"/>
      <c r="V22" s="483"/>
      <c r="W22" s="483"/>
      <c r="X22" s="54">
        <f>(1)*1</f>
        <v>1</v>
      </c>
      <c r="Y22" s="54">
        <f>(0)*0.58</f>
        <v>0</v>
      </c>
      <c r="Z22" s="55">
        <f>(0)*1</f>
        <v>0</v>
      </c>
    </row>
    <row r="23" spans="1:28" ht="14.25" customHeight="1" x14ac:dyDescent="0.2">
      <c r="A23" s="3"/>
      <c r="B23" s="3"/>
      <c r="C23" s="3"/>
      <c r="D23" s="484" t="s">
        <v>38</v>
      </c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541"/>
      <c r="S23" s="56">
        <f>S22/S226</f>
        <v>1.1515341576067148</v>
      </c>
      <c r="T23" s="542"/>
      <c r="U23" s="542"/>
      <c r="V23" s="542"/>
      <c r="W23" s="542"/>
      <c r="X23" s="542"/>
      <c r="Y23" s="542"/>
      <c r="Z23" s="542"/>
    </row>
    <row r="24" spans="1:28" ht="14.25" customHeight="1" x14ac:dyDescent="0.2">
      <c r="A24" s="3"/>
      <c r="B24" s="3"/>
      <c r="C24" s="3"/>
      <c r="D24" s="486" t="s">
        <v>39</v>
      </c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543"/>
      <c r="S24" s="57">
        <f>S21+S23</f>
        <v>2.0574165105478914</v>
      </c>
      <c r="T24" s="542"/>
      <c r="U24" s="542"/>
      <c r="V24" s="542"/>
      <c r="W24" s="542"/>
      <c r="X24" s="542"/>
      <c r="Y24" s="542"/>
      <c r="Z24" s="542"/>
      <c r="AA24" s="393" t="s">
        <v>410</v>
      </c>
    </row>
    <row r="25" spans="1:28" ht="14.25" customHeight="1" x14ac:dyDescent="0.2">
      <c r="A25" s="3"/>
      <c r="B25" s="3"/>
      <c r="C25" s="3"/>
      <c r="D25" s="471" t="s">
        <v>40</v>
      </c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544"/>
      <c r="S25" s="58">
        <f>S20/S223</f>
        <v>0.10160190121469076</v>
      </c>
      <c r="T25" s="59"/>
      <c r="U25" s="59"/>
      <c r="V25" s="59"/>
      <c r="W25" s="59"/>
      <c r="X25" s="545"/>
      <c r="Y25" s="545"/>
      <c r="Z25" s="545"/>
    </row>
    <row r="26" spans="1:28" ht="14.25" customHeight="1" x14ac:dyDescent="0.2">
      <c r="A26" s="3"/>
      <c r="B26" s="3"/>
      <c r="C26" s="3"/>
      <c r="D26" s="472" t="s">
        <v>41</v>
      </c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546"/>
      <c r="S26" s="58">
        <f>S24/S227</f>
        <v>0.11723470353566658</v>
      </c>
      <c r="T26" s="59"/>
      <c r="U26" s="59"/>
      <c r="V26" s="59"/>
      <c r="W26" s="59"/>
      <c r="X26" s="545"/>
      <c r="Y26" s="545"/>
      <c r="Z26" s="545"/>
      <c r="AA26" s="60"/>
      <c r="AB26" s="61"/>
    </row>
    <row r="27" spans="1:28" ht="14.25" customHeight="1" x14ac:dyDescent="0.2">
      <c r="A27" s="3"/>
      <c r="B27" s="3"/>
      <c r="C27" s="3"/>
      <c r="D27" s="460" t="s">
        <v>42</v>
      </c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547"/>
      <c r="S27" s="62">
        <f>((S25*0.9)+(S26*0.1))</f>
        <v>0.10316518144678835</v>
      </c>
      <c r="T27" s="59"/>
      <c r="U27" s="59"/>
      <c r="V27" s="59"/>
      <c r="W27" s="59"/>
      <c r="X27" s="545"/>
      <c r="Y27" s="545"/>
      <c r="Z27" s="545"/>
    </row>
    <row r="28" spans="1:28" ht="14.1" customHeight="1" x14ac:dyDescent="0.2">
      <c r="A28" s="3"/>
      <c r="B28" s="3"/>
      <c r="C28" s="504" t="s">
        <v>43</v>
      </c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3"/>
      <c r="V28" s="3"/>
      <c r="W28" s="3"/>
      <c r="X28" s="545"/>
      <c r="Y28" s="545"/>
      <c r="Z28" s="545"/>
    </row>
    <row r="29" spans="1:28" ht="0.9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545"/>
      <c r="Y29" s="545"/>
      <c r="Z29" s="545"/>
    </row>
    <row r="30" spans="1:28" ht="12" customHeight="1" x14ac:dyDescent="0.2">
      <c r="A30" s="3"/>
      <c r="B30" s="3"/>
      <c r="C30" s="3"/>
      <c r="D30" s="473" t="s">
        <v>44</v>
      </c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3"/>
      <c r="X30" s="545"/>
      <c r="Y30" s="545"/>
      <c r="Z30" s="545"/>
    </row>
    <row r="31" spans="1:28" ht="3.9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45"/>
      <c r="Y31" s="545"/>
      <c r="Z31" s="545"/>
    </row>
    <row r="32" spans="1:28" ht="27" customHeight="1" x14ac:dyDescent="0.2">
      <c r="A32" s="3"/>
      <c r="B32" s="3"/>
      <c r="C32" s="3"/>
      <c r="D32" s="18" t="s">
        <v>4</v>
      </c>
      <c r="E32" s="19"/>
      <c r="F32" s="20" t="s">
        <v>5</v>
      </c>
      <c r="G32" s="19"/>
      <c r="H32" s="21" t="s">
        <v>6</v>
      </c>
      <c r="I32" s="19"/>
      <c r="J32" s="21" t="s">
        <v>7</v>
      </c>
      <c r="K32" s="19"/>
      <c r="L32" s="21" t="s">
        <v>8</v>
      </c>
      <c r="M32" s="19"/>
      <c r="N32" s="21" t="s">
        <v>9</v>
      </c>
      <c r="O32" s="21" t="s">
        <v>10</v>
      </c>
      <c r="P32" s="21" t="s">
        <v>11</v>
      </c>
      <c r="Q32" s="19"/>
      <c r="R32" s="63" t="s">
        <v>12</v>
      </c>
      <c r="S32" s="23" t="s">
        <v>13</v>
      </c>
      <c r="T32" s="537" t="s">
        <v>14</v>
      </c>
      <c r="U32" s="537"/>
      <c r="V32" s="537"/>
      <c r="W32" s="537"/>
      <c r="X32" s="24" t="s">
        <v>15</v>
      </c>
      <c r="Y32" s="25" t="s">
        <v>16</v>
      </c>
      <c r="Z32" s="26" t="s">
        <v>17</v>
      </c>
    </row>
    <row r="33" spans="1:27" ht="13.5" customHeight="1" x14ac:dyDescent="0.2">
      <c r="A33" s="3"/>
      <c r="B33" s="3"/>
      <c r="C33" s="3"/>
      <c r="D33" s="27">
        <v>24092</v>
      </c>
      <c r="E33" s="3"/>
      <c r="F33" s="28" t="s">
        <v>45</v>
      </c>
      <c r="G33" s="3"/>
      <c r="H33" s="29" t="s">
        <v>22</v>
      </c>
      <c r="I33" s="3"/>
      <c r="J33" s="29">
        <v>0</v>
      </c>
      <c r="K33" s="3"/>
      <c r="L33" s="29">
        <v>50</v>
      </c>
      <c r="M33" s="3"/>
      <c r="N33" s="64">
        <v>219</v>
      </c>
      <c r="O33" s="64">
        <v>190</v>
      </c>
      <c r="P33" s="29">
        <f>MEDIAN(N33,O33)</f>
        <v>204.5</v>
      </c>
      <c r="Q33" s="3"/>
      <c r="R33" s="65">
        <v>18</v>
      </c>
      <c r="S33" s="40">
        <f>(((R33)*(1+0.12)+(((L33)-(R33))/4))*1*4*1.15*1.1)</f>
        <v>142.48960000000002</v>
      </c>
      <c r="T33" s="465">
        <f>(S33/S$37)</f>
        <v>0.1957103747529749</v>
      </c>
      <c r="U33" s="465"/>
      <c r="V33" s="465"/>
      <c r="W33" s="465"/>
      <c r="X33" s="35">
        <v>3</v>
      </c>
      <c r="Y33" s="36"/>
      <c r="Z33" s="37">
        <f>(X33/S224)</f>
        <v>0.9882352941176471</v>
      </c>
    </row>
    <row r="34" spans="1:27" ht="16.5" customHeight="1" x14ac:dyDescent="0.2">
      <c r="A34" s="3"/>
      <c r="B34" s="3"/>
      <c r="C34" s="3"/>
      <c r="D34" s="27" t="s">
        <v>46</v>
      </c>
      <c r="E34" s="3"/>
      <c r="F34" s="28" t="s">
        <v>47</v>
      </c>
      <c r="G34" s="3"/>
      <c r="H34" s="29" t="s">
        <v>48</v>
      </c>
      <c r="I34" s="3"/>
      <c r="J34" s="29">
        <v>50</v>
      </c>
      <c r="K34" s="3"/>
      <c r="L34" s="29">
        <v>50</v>
      </c>
      <c r="M34" s="3"/>
      <c r="N34" s="64">
        <v>199</v>
      </c>
      <c r="O34" s="64">
        <v>185</v>
      </c>
      <c r="P34" s="29">
        <f>MEDIAN(N34,O34)</f>
        <v>192</v>
      </c>
      <c r="Q34" s="3"/>
      <c r="R34" s="65">
        <v>14</v>
      </c>
      <c r="S34" s="40">
        <f>((P34)*1*1*1.1)</f>
        <v>211.20000000000002</v>
      </c>
      <c r="T34" s="465">
        <f>(S34/S$37)</f>
        <v>0.29008454755875723</v>
      </c>
      <c r="U34" s="465"/>
      <c r="V34" s="465"/>
      <c r="W34" s="465"/>
      <c r="X34" s="35">
        <v>3</v>
      </c>
      <c r="Y34" s="36">
        <v>0</v>
      </c>
      <c r="Z34" s="37">
        <f>(X34/S224)</f>
        <v>0.9882352941176471</v>
      </c>
    </row>
    <row r="35" spans="1:27" ht="14.25" customHeight="1" x14ac:dyDescent="0.2">
      <c r="A35" s="3"/>
      <c r="B35" s="3"/>
      <c r="C35" s="3"/>
      <c r="D35" s="27" t="s">
        <v>49</v>
      </c>
      <c r="E35" s="3"/>
      <c r="F35" s="28" t="s">
        <v>50</v>
      </c>
      <c r="G35" s="3"/>
      <c r="H35" s="29" t="s">
        <v>20</v>
      </c>
      <c r="I35" s="3"/>
      <c r="J35" s="29">
        <v>50</v>
      </c>
      <c r="K35" s="3"/>
      <c r="L35" s="29">
        <v>53</v>
      </c>
      <c r="M35" s="3"/>
      <c r="N35" s="64">
        <v>172</v>
      </c>
      <c r="O35" s="64">
        <v>165</v>
      </c>
      <c r="P35" s="29">
        <f>MEDIAN(N35,O35)</f>
        <v>168.5</v>
      </c>
      <c r="Q35" s="3"/>
      <c r="R35" s="65">
        <v>29</v>
      </c>
      <c r="S35" s="40">
        <f>(((R35)*(1+0.115)+(((L35)-(R35))/4))*1*4*1*1.1)</f>
        <v>168.67400000000001</v>
      </c>
      <c r="T35" s="465">
        <f>(S35/S$37)</f>
        <v>0.23167481522218661</v>
      </c>
      <c r="U35" s="465"/>
      <c r="V35" s="465"/>
      <c r="W35" s="465"/>
      <c r="X35" s="35">
        <v>3</v>
      </c>
      <c r="Y35" s="36"/>
      <c r="Z35" s="37">
        <f>(X35/S224)</f>
        <v>0.9882352941176471</v>
      </c>
    </row>
    <row r="36" spans="1:27" ht="15" customHeight="1" x14ac:dyDescent="0.2">
      <c r="A36" s="3"/>
      <c r="B36" s="3"/>
      <c r="C36" s="3"/>
      <c r="D36" s="66" t="s">
        <v>51</v>
      </c>
      <c r="E36" s="67"/>
      <c r="F36" s="68" t="s">
        <v>52</v>
      </c>
      <c r="G36" s="67"/>
      <c r="H36" s="69" t="s">
        <v>20</v>
      </c>
      <c r="I36" s="67"/>
      <c r="J36" s="29">
        <v>50</v>
      </c>
      <c r="K36" s="67"/>
      <c r="L36" s="69">
        <f>50+1</f>
        <v>51</v>
      </c>
      <c r="M36" s="67"/>
      <c r="N36" s="64">
        <v>237</v>
      </c>
      <c r="O36" s="64">
        <v>224</v>
      </c>
      <c r="P36" s="29">
        <f>MEDIAN(N36,O36)</f>
        <v>230.5</v>
      </c>
      <c r="Q36" s="67"/>
      <c r="R36" s="70">
        <f>2+38</f>
        <v>40</v>
      </c>
      <c r="S36" s="40">
        <f>(((R36)*(1+0.1)+(((L36)-(R36))/4))*1*4*1*1.1)</f>
        <v>205.70000000000002</v>
      </c>
      <c r="T36" s="465">
        <f>(S36/S$37)</f>
        <v>0.28253026246608126</v>
      </c>
      <c r="U36" s="465"/>
      <c r="V36" s="465"/>
      <c r="W36" s="465"/>
      <c r="X36" s="48">
        <v>3</v>
      </c>
      <c r="Y36" s="71">
        <v>0</v>
      </c>
      <c r="Z36" s="55">
        <f>(X36/S224)</f>
        <v>0.9882352941176471</v>
      </c>
    </row>
    <row r="37" spans="1:27" ht="15" customHeight="1" x14ac:dyDescent="0.2">
      <c r="A37" s="3"/>
      <c r="B37" s="3"/>
      <c r="C37" s="3"/>
      <c r="D37" s="466" t="s">
        <v>53</v>
      </c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50">
        <f>SUM(S33:S36)</f>
        <v>728.06360000000006</v>
      </c>
      <c r="T37" s="533">
        <f>(S37/S$37)</f>
        <v>1</v>
      </c>
      <c r="U37" s="533"/>
      <c r="V37" s="533"/>
      <c r="W37" s="533"/>
      <c r="X37" s="534"/>
      <c r="Y37" s="534"/>
      <c r="Z37" s="534"/>
    </row>
    <row r="38" spans="1:27" ht="14.25" customHeight="1" x14ac:dyDescent="0.2">
      <c r="A38" s="3"/>
      <c r="B38" s="3"/>
      <c r="C38" s="3"/>
      <c r="D38" s="540" t="s">
        <v>54</v>
      </c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0">
        <f>SUM(S33:S36)</f>
        <v>728.06360000000006</v>
      </c>
      <c r="T38" s="533">
        <f>((S38+S49)/TAEj!B20)</f>
        <v>6.0777076568787287E-2</v>
      </c>
      <c r="U38" s="533"/>
      <c r="V38" s="533"/>
      <c r="W38" s="533"/>
      <c r="X38" s="534"/>
      <c r="Y38" s="534"/>
      <c r="Z38" s="534"/>
    </row>
    <row r="39" spans="1:27" ht="14.25" customHeight="1" x14ac:dyDescent="0.2">
      <c r="A39" s="3"/>
      <c r="B39" s="3"/>
      <c r="C39" s="3"/>
      <c r="D39" s="480" t="s">
        <v>55</v>
      </c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51">
        <f>SUM(Z33:Z36)/4</f>
        <v>0.9882352941176471</v>
      </c>
      <c r="T39" s="481" t="s">
        <v>33</v>
      </c>
      <c r="U39" s="481"/>
      <c r="V39" s="481"/>
      <c r="W39" s="481"/>
      <c r="X39" s="52" t="s">
        <v>34</v>
      </c>
      <c r="Y39" s="52" t="s">
        <v>35</v>
      </c>
      <c r="Z39" s="53" t="s">
        <v>36</v>
      </c>
    </row>
    <row r="40" spans="1:27" ht="14.25" customHeight="1" x14ac:dyDescent="0.2">
      <c r="A40" s="3"/>
      <c r="B40" s="3"/>
      <c r="C40" s="3"/>
      <c r="D40" s="482" t="s">
        <v>56</v>
      </c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50">
        <f>S38/SUM(T40:Z40)</f>
        <v>13.664857357357359</v>
      </c>
      <c r="T40" s="483">
        <f>(31)*1.7</f>
        <v>52.699999999999996</v>
      </c>
      <c r="U40" s="483"/>
      <c r="V40" s="483"/>
      <c r="W40" s="483"/>
      <c r="X40" s="54">
        <f>(0)*1</f>
        <v>0</v>
      </c>
      <c r="Y40" s="54">
        <f>(1)*0.58</f>
        <v>0.57999999999999996</v>
      </c>
      <c r="Z40" s="55">
        <f>(0)*1</f>
        <v>0</v>
      </c>
      <c r="AA40" s="393" t="s">
        <v>410</v>
      </c>
    </row>
    <row r="41" spans="1:27" ht="14.25" customHeight="1" x14ac:dyDescent="0.2">
      <c r="A41" s="3"/>
      <c r="B41" s="3"/>
      <c r="C41" s="3"/>
      <c r="D41" s="484" t="s">
        <v>57</v>
      </c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56">
        <f>S40/S226</f>
        <v>1.0679001009812898</v>
      </c>
      <c r="T41" s="539"/>
      <c r="U41" s="539"/>
      <c r="V41" s="539"/>
      <c r="W41" s="539"/>
      <c r="X41" s="539"/>
      <c r="Y41" s="539"/>
      <c r="Z41" s="539"/>
    </row>
    <row r="42" spans="1:27" ht="14.25" customHeight="1" x14ac:dyDescent="0.2">
      <c r="A42" s="3"/>
      <c r="B42" s="3"/>
      <c r="C42" s="3"/>
      <c r="D42" s="486" t="s">
        <v>58</v>
      </c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57">
        <f>S39+S41+S51</f>
        <v>2.0561353950989369</v>
      </c>
      <c r="T42" s="539"/>
      <c r="U42" s="539"/>
      <c r="V42" s="539"/>
      <c r="W42" s="539"/>
      <c r="X42" s="539"/>
      <c r="Y42" s="539"/>
      <c r="Z42" s="539"/>
    </row>
    <row r="43" spans="1:27" ht="14.25" customHeight="1" x14ac:dyDescent="0.2">
      <c r="A43" s="3"/>
      <c r="B43" s="3"/>
      <c r="C43" s="3"/>
      <c r="D43" s="471" t="s">
        <v>59</v>
      </c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58">
        <f>S38/S223</f>
        <v>6.0777076568787287E-2</v>
      </c>
      <c r="T43" s="72"/>
      <c r="U43" s="72"/>
      <c r="V43" s="72"/>
      <c r="W43" s="72"/>
      <c r="X43" s="72"/>
      <c r="Y43" s="72"/>
      <c r="Z43" s="72"/>
    </row>
    <row r="44" spans="1:27" ht="14.25" customHeight="1" x14ac:dyDescent="0.2">
      <c r="A44" s="3"/>
      <c r="B44" s="3"/>
      <c r="C44" s="3"/>
      <c r="D44" s="472" t="s">
        <v>60</v>
      </c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58">
        <f>S42/S227</f>
        <v>0.11716170364036917</v>
      </c>
      <c r="T44" s="72"/>
      <c r="U44" s="72"/>
      <c r="V44" s="72"/>
      <c r="W44" s="72"/>
      <c r="X44" s="72"/>
      <c r="Y44" s="72"/>
      <c r="Z44" s="72"/>
    </row>
    <row r="45" spans="1:27" ht="14.25" customHeight="1" x14ac:dyDescent="0.2">
      <c r="A45" s="3"/>
      <c r="B45" s="3"/>
      <c r="C45" s="3"/>
      <c r="D45" s="460" t="s">
        <v>61</v>
      </c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62">
        <f>((S43*0.9)+(S44*0.1))</f>
        <v>6.6415539275945484E-2</v>
      </c>
      <c r="T45" s="72"/>
      <c r="U45" s="72"/>
      <c r="V45" s="72"/>
      <c r="W45" s="72"/>
      <c r="X45" s="72"/>
      <c r="Y45" s="72"/>
      <c r="Z45" s="72"/>
    </row>
    <row r="46" spans="1:27" ht="15.75" customHeight="1" x14ac:dyDescent="0.2">
      <c r="A46" s="3"/>
      <c r="B46" s="3"/>
      <c r="C46" s="3"/>
      <c r="D46" s="538" t="s">
        <v>62</v>
      </c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3"/>
      <c r="X46" s="505"/>
      <c r="Y46" s="505"/>
      <c r="Z46" s="505"/>
    </row>
    <row r="47" spans="1:27" ht="3.9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505"/>
      <c r="Y47" s="505"/>
      <c r="Z47" s="505"/>
    </row>
    <row r="48" spans="1:27" ht="27" customHeight="1" x14ac:dyDescent="0.2">
      <c r="A48" s="3"/>
      <c r="B48" s="3"/>
      <c r="C48" s="3"/>
      <c r="D48" s="18"/>
      <c r="E48" s="19"/>
      <c r="F48" s="20"/>
      <c r="G48" s="19"/>
      <c r="H48" s="21"/>
      <c r="I48" s="19"/>
      <c r="J48" s="21"/>
      <c r="K48" s="19"/>
      <c r="L48" s="21"/>
      <c r="M48" s="19"/>
      <c r="N48" s="21"/>
      <c r="O48" s="21"/>
      <c r="P48" s="21"/>
      <c r="Q48" s="19"/>
      <c r="R48" s="63"/>
      <c r="S48" s="23"/>
      <c r="T48" s="521"/>
      <c r="U48" s="521"/>
      <c r="V48" s="521"/>
      <c r="W48" s="521"/>
      <c r="X48" s="73"/>
      <c r="Y48" s="74"/>
      <c r="Z48" s="75"/>
    </row>
    <row r="49" spans="1:26" ht="14.25" customHeight="1" x14ac:dyDescent="0.2">
      <c r="A49" s="3"/>
      <c r="B49" s="3"/>
      <c r="C49" s="3"/>
      <c r="D49" s="66"/>
      <c r="E49" s="67"/>
      <c r="F49" s="68"/>
      <c r="G49" s="67"/>
      <c r="H49" s="69"/>
      <c r="I49" s="67"/>
      <c r="J49" s="69"/>
      <c r="K49" s="67"/>
      <c r="L49" s="69"/>
      <c r="M49" s="67"/>
      <c r="N49" s="64"/>
      <c r="O49" s="64"/>
      <c r="P49" s="69"/>
      <c r="Q49" s="67"/>
      <c r="R49" s="70"/>
      <c r="S49" s="76"/>
      <c r="T49" s="522"/>
      <c r="U49" s="522"/>
      <c r="V49" s="522"/>
      <c r="W49" s="522"/>
      <c r="X49" s="77"/>
      <c r="Y49" s="78"/>
      <c r="Z49" s="79"/>
    </row>
    <row r="50" spans="1:26" ht="15" customHeight="1" x14ac:dyDescent="0.2">
      <c r="A50" s="3"/>
      <c r="B50" s="3"/>
      <c r="C50" s="3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80"/>
      <c r="T50" s="523"/>
      <c r="U50" s="523"/>
      <c r="V50" s="523"/>
      <c r="W50" s="523"/>
      <c r="X50" s="477"/>
      <c r="Y50" s="477"/>
      <c r="Z50" s="477"/>
    </row>
    <row r="51" spans="1:26" ht="15" customHeight="1" x14ac:dyDescent="0.2">
      <c r="A51" s="3"/>
      <c r="B51" s="3"/>
      <c r="C51" s="3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524"/>
      <c r="T51" s="524"/>
      <c r="U51" s="524"/>
      <c r="V51" s="524"/>
      <c r="W51" s="524"/>
      <c r="X51" s="477"/>
      <c r="Y51" s="477"/>
      <c r="Z51" s="477"/>
    </row>
    <row r="52" spans="1:26" ht="17.25" customHeight="1" x14ac:dyDescent="0.2">
      <c r="A52" s="3"/>
      <c r="B52" s="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3"/>
      <c r="V52" s="3"/>
      <c r="W52" s="3"/>
      <c r="X52" s="536"/>
      <c r="Y52" s="536"/>
      <c r="Z52" s="536"/>
    </row>
    <row r="53" spans="1:26" ht="15.75" customHeight="1" x14ac:dyDescent="0.2">
      <c r="A53" s="3"/>
      <c r="B53" s="3"/>
      <c r="C53" s="3"/>
      <c r="D53" s="504" t="s">
        <v>67</v>
      </c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3"/>
      <c r="W53" s="3"/>
      <c r="X53" s="536"/>
      <c r="Y53" s="536"/>
      <c r="Z53" s="536"/>
    </row>
    <row r="54" spans="1:26" ht="12" customHeight="1" x14ac:dyDescent="0.2">
      <c r="A54" s="3"/>
      <c r="B54" s="3"/>
      <c r="C54" s="3"/>
      <c r="D54" s="473" t="s">
        <v>68</v>
      </c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3"/>
      <c r="X54" s="536"/>
      <c r="Y54" s="536"/>
      <c r="Z54" s="536"/>
    </row>
    <row r="55" spans="1:26" ht="3.9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536"/>
      <c r="Y55" s="536"/>
      <c r="Z55" s="536"/>
    </row>
    <row r="56" spans="1:26" ht="27" customHeight="1" x14ac:dyDescent="0.2">
      <c r="A56" s="3"/>
      <c r="B56" s="3"/>
      <c r="C56" s="3"/>
      <c r="D56" s="18" t="s">
        <v>4</v>
      </c>
      <c r="E56" s="19"/>
      <c r="F56" s="20" t="s">
        <v>5</v>
      </c>
      <c r="G56" s="19"/>
      <c r="H56" s="21" t="s">
        <v>6</v>
      </c>
      <c r="I56" s="19"/>
      <c r="J56" s="21" t="s">
        <v>7</v>
      </c>
      <c r="K56" s="19"/>
      <c r="L56" s="21" t="s">
        <v>8</v>
      </c>
      <c r="M56" s="19"/>
      <c r="N56" s="21" t="s">
        <v>9</v>
      </c>
      <c r="O56" s="21" t="s">
        <v>10</v>
      </c>
      <c r="P56" s="21" t="s">
        <v>11</v>
      </c>
      <c r="Q56" s="19"/>
      <c r="R56" s="63" t="s">
        <v>12</v>
      </c>
      <c r="S56" s="23" t="s">
        <v>13</v>
      </c>
      <c r="T56" s="537" t="s">
        <v>14</v>
      </c>
      <c r="U56" s="537"/>
      <c r="V56" s="537"/>
      <c r="W56" s="537"/>
      <c r="X56" s="24" t="s">
        <v>15</v>
      </c>
      <c r="Y56" s="25" t="s">
        <v>16</v>
      </c>
      <c r="Z56" s="26" t="s">
        <v>17</v>
      </c>
    </row>
    <row r="57" spans="1:26" ht="13.5" customHeight="1" x14ac:dyDescent="0.2">
      <c r="A57" s="3"/>
      <c r="B57" s="3"/>
      <c r="C57" s="3"/>
      <c r="D57" s="27" t="s">
        <v>69</v>
      </c>
      <c r="E57" s="3"/>
      <c r="F57" s="28" t="s">
        <v>70</v>
      </c>
      <c r="G57" s="3"/>
      <c r="H57" s="29" t="s">
        <v>29</v>
      </c>
      <c r="I57" s="3"/>
      <c r="J57" s="29">
        <v>0</v>
      </c>
      <c r="K57" s="3"/>
      <c r="L57" s="29">
        <v>0</v>
      </c>
      <c r="M57" s="3"/>
      <c r="N57" s="64">
        <v>111</v>
      </c>
      <c r="O57" s="64">
        <v>68</v>
      </c>
      <c r="P57" s="29">
        <f t="shared" ref="P57:P63" si="2">MEDIAN(N57,O57)</f>
        <v>89.5</v>
      </c>
      <c r="Q57" s="3"/>
      <c r="R57" s="65">
        <v>0</v>
      </c>
      <c r="S57" s="40">
        <f>((P57)*1*1*1.1)</f>
        <v>98.45</v>
      </c>
      <c r="T57" s="465">
        <f t="shared" ref="T57:T64" si="3">(S57/S$65)</f>
        <v>7.733674709544347E-2</v>
      </c>
      <c r="U57" s="465"/>
      <c r="V57" s="465"/>
      <c r="W57" s="465"/>
      <c r="X57" s="81">
        <v>3</v>
      </c>
      <c r="Y57" s="36">
        <v>0</v>
      </c>
      <c r="Z57" s="37">
        <f>(X57/S224)</f>
        <v>0.9882352941176471</v>
      </c>
    </row>
    <row r="58" spans="1:26" ht="11.25" customHeight="1" x14ac:dyDescent="0.2">
      <c r="A58" s="3"/>
      <c r="B58" s="3"/>
      <c r="C58" s="3"/>
      <c r="D58" s="27" t="s">
        <v>71</v>
      </c>
      <c r="E58" s="3"/>
      <c r="F58" s="28" t="s">
        <v>72</v>
      </c>
      <c r="G58" s="3"/>
      <c r="H58" s="29" t="s">
        <v>29</v>
      </c>
      <c r="I58" s="3"/>
      <c r="J58" s="29">
        <v>50</v>
      </c>
      <c r="K58" s="3"/>
      <c r="L58" s="29">
        <v>46</v>
      </c>
      <c r="M58" s="3"/>
      <c r="N58" s="64">
        <v>178</v>
      </c>
      <c r="O58" s="64">
        <v>157</v>
      </c>
      <c r="P58" s="29">
        <f t="shared" si="2"/>
        <v>167.5</v>
      </c>
      <c r="Q58" s="3"/>
      <c r="R58" s="65">
        <f>2+6</f>
        <v>8</v>
      </c>
      <c r="S58" s="40">
        <f>((P58)*2*1*1.1)</f>
        <v>368.50000000000006</v>
      </c>
      <c r="T58" s="465">
        <f t="shared" si="3"/>
        <v>0.28947274052484434</v>
      </c>
      <c r="U58" s="465"/>
      <c r="V58" s="465"/>
      <c r="W58" s="465"/>
      <c r="X58" s="81">
        <v>4</v>
      </c>
      <c r="Y58" s="36" t="s">
        <v>73</v>
      </c>
      <c r="Z58" s="37">
        <f>(X58/S224)</f>
        <v>1.3176470588235294</v>
      </c>
    </row>
    <row r="59" spans="1:26" ht="12.75" customHeight="1" x14ac:dyDescent="0.2">
      <c r="A59" s="3"/>
      <c r="B59" s="3"/>
      <c r="C59" s="3"/>
      <c r="D59" s="27" t="s">
        <v>74</v>
      </c>
      <c r="E59" s="3"/>
      <c r="F59" s="28" t="s">
        <v>75</v>
      </c>
      <c r="G59" s="3"/>
      <c r="H59" s="29" t="s">
        <v>22</v>
      </c>
      <c r="I59" s="3"/>
      <c r="J59" s="29">
        <v>50</v>
      </c>
      <c r="K59" s="3"/>
      <c r="L59" s="29">
        <v>49</v>
      </c>
      <c r="M59" s="3"/>
      <c r="N59" s="64">
        <v>129</v>
      </c>
      <c r="O59" s="64">
        <v>111</v>
      </c>
      <c r="P59" s="29">
        <f t="shared" si="2"/>
        <v>120</v>
      </c>
      <c r="Q59" s="3"/>
      <c r="R59" s="65">
        <f>1+4</f>
        <v>5</v>
      </c>
      <c r="S59" s="40">
        <f>((P59)*1.5*1.15*1.1)</f>
        <v>227.7</v>
      </c>
      <c r="T59" s="465">
        <f t="shared" si="3"/>
        <v>0.17886823071236646</v>
      </c>
      <c r="U59" s="465"/>
      <c r="V59" s="465"/>
      <c r="W59" s="465"/>
      <c r="X59" s="81">
        <v>3</v>
      </c>
      <c r="Y59" s="36" t="s">
        <v>73</v>
      </c>
      <c r="Z59" s="37">
        <f>(X59/S224)</f>
        <v>0.9882352941176471</v>
      </c>
    </row>
    <row r="60" spans="1:26" ht="12.75" customHeight="1" x14ac:dyDescent="0.2">
      <c r="A60" s="3"/>
      <c r="B60" s="3"/>
      <c r="C60" s="3"/>
      <c r="D60" s="27" t="s">
        <v>76</v>
      </c>
      <c r="E60" s="3"/>
      <c r="F60" s="28" t="s">
        <v>77</v>
      </c>
      <c r="G60" s="3"/>
      <c r="H60" s="29" t="s">
        <v>22</v>
      </c>
      <c r="I60" s="3"/>
      <c r="J60" s="29">
        <v>50</v>
      </c>
      <c r="K60" s="3"/>
      <c r="L60" s="29">
        <v>60</v>
      </c>
      <c r="M60" s="3"/>
      <c r="N60" s="64">
        <v>130</v>
      </c>
      <c r="O60" s="64">
        <v>109</v>
      </c>
      <c r="P60" s="29">
        <f t="shared" si="2"/>
        <v>119.5</v>
      </c>
      <c r="Q60" s="3"/>
      <c r="R60" s="65">
        <v>8</v>
      </c>
      <c r="S60" s="40">
        <f>(((R60)*(1+0.1325)+(((L60)-(R60))/4))*1.5*4*1.15*1.1)</f>
        <v>167.43540000000002</v>
      </c>
      <c r="T60" s="465">
        <f t="shared" si="3"/>
        <v>0.13152777231716015</v>
      </c>
      <c r="U60" s="465"/>
      <c r="V60" s="465"/>
      <c r="W60" s="465"/>
      <c r="X60" s="81">
        <v>3</v>
      </c>
      <c r="Y60" s="36"/>
      <c r="Z60" s="37">
        <f>(X60/S224)</f>
        <v>0.9882352941176471</v>
      </c>
    </row>
    <row r="61" spans="1:26" ht="13.5" customHeight="1" x14ac:dyDescent="0.2">
      <c r="A61" s="3"/>
      <c r="B61" s="3"/>
      <c r="C61" s="3"/>
      <c r="D61" s="27">
        <v>1114212</v>
      </c>
      <c r="E61" s="3"/>
      <c r="F61" s="28" t="s">
        <v>78</v>
      </c>
      <c r="G61" s="3"/>
      <c r="H61" s="29" t="s">
        <v>29</v>
      </c>
      <c r="I61" s="3"/>
      <c r="J61" s="29">
        <v>0</v>
      </c>
      <c r="K61" s="3"/>
      <c r="L61" s="29">
        <v>0</v>
      </c>
      <c r="M61" s="3"/>
      <c r="N61" s="64">
        <v>20</v>
      </c>
      <c r="O61" s="64">
        <v>20</v>
      </c>
      <c r="P61" s="29">
        <f t="shared" si="2"/>
        <v>20</v>
      </c>
      <c r="Q61" s="3"/>
      <c r="R61" s="65">
        <v>1</v>
      </c>
      <c r="S61" s="40">
        <f>((P61)*1.5*1*1.1)</f>
        <v>33</v>
      </c>
      <c r="T61" s="465">
        <f t="shared" si="3"/>
        <v>2.5922931987299488E-2</v>
      </c>
      <c r="U61" s="465"/>
      <c r="V61" s="465"/>
      <c r="W61" s="465"/>
      <c r="X61" s="81">
        <v>3</v>
      </c>
      <c r="Y61" s="36" t="s">
        <v>73</v>
      </c>
      <c r="Z61" s="37">
        <f>(X61/S224)</f>
        <v>0.9882352941176471</v>
      </c>
    </row>
    <row r="62" spans="1:26" ht="11.25" customHeight="1" x14ac:dyDescent="0.2">
      <c r="A62" s="3"/>
      <c r="B62" s="3"/>
      <c r="C62" s="3"/>
      <c r="D62" s="27" t="s">
        <v>79</v>
      </c>
      <c r="E62" s="3"/>
      <c r="F62" s="28" t="s">
        <v>80</v>
      </c>
      <c r="G62" s="3"/>
      <c r="H62" s="29" t="s">
        <v>22</v>
      </c>
      <c r="I62" s="3"/>
      <c r="J62" s="29">
        <v>50</v>
      </c>
      <c r="K62" s="3"/>
      <c r="L62" s="29">
        <f>7+45</f>
        <v>52</v>
      </c>
      <c r="M62" s="3"/>
      <c r="N62" s="64">
        <v>145</v>
      </c>
      <c r="O62" s="64">
        <v>171</v>
      </c>
      <c r="P62" s="29">
        <f t="shared" si="2"/>
        <v>158</v>
      </c>
      <c r="Q62" s="3"/>
      <c r="R62" s="65">
        <f>6+4</f>
        <v>10</v>
      </c>
      <c r="S62" s="40">
        <f>(((R62)*(1+0.1325)+(((L62)-(R62))/4))*1.5*4*1.15*1.1)</f>
        <v>165.65175000000002</v>
      </c>
      <c r="T62" s="465">
        <f t="shared" si="3"/>
        <v>0.13012663784324663</v>
      </c>
      <c r="U62" s="465"/>
      <c r="V62" s="465"/>
      <c r="W62" s="465"/>
      <c r="X62" s="81">
        <v>4</v>
      </c>
      <c r="Y62" s="36"/>
      <c r="Z62" s="37">
        <f>(X62/S224)</f>
        <v>1.3176470588235294</v>
      </c>
    </row>
    <row r="63" spans="1:26" s="411" customFormat="1" ht="13.5" customHeight="1" x14ac:dyDescent="0.2">
      <c r="A63" s="399"/>
      <c r="B63" s="399"/>
      <c r="C63" s="399"/>
      <c r="D63" s="400" t="s">
        <v>81</v>
      </c>
      <c r="E63" s="401"/>
      <c r="F63" s="402" t="s">
        <v>82</v>
      </c>
      <c r="G63" s="401"/>
      <c r="H63" s="403" t="s">
        <v>22</v>
      </c>
      <c r="I63" s="401"/>
      <c r="J63" s="404">
        <v>50</v>
      </c>
      <c r="K63" s="401"/>
      <c r="L63" s="403">
        <v>42</v>
      </c>
      <c r="M63" s="401"/>
      <c r="N63" s="405">
        <v>190</v>
      </c>
      <c r="O63" s="405">
        <v>196</v>
      </c>
      <c r="P63" s="404">
        <f t="shared" si="2"/>
        <v>193</v>
      </c>
      <c r="Q63" s="401"/>
      <c r="R63" s="406">
        <f>26+11</f>
        <v>37</v>
      </c>
      <c r="S63" s="407">
        <f>(((R63)*(1+0.1)+(((L63)-(R63))/4))*1*4*1.15*1.1)</f>
        <v>212.26700000000002</v>
      </c>
      <c r="T63" s="491">
        <f t="shared" si="3"/>
        <v>0.16674493951963942</v>
      </c>
      <c r="U63" s="491"/>
      <c r="V63" s="491"/>
      <c r="W63" s="491"/>
      <c r="X63" s="408">
        <v>4</v>
      </c>
      <c r="Y63" s="409"/>
      <c r="Z63" s="410">
        <f>(X63/S224)</f>
        <v>1.3176470588235294</v>
      </c>
    </row>
    <row r="64" spans="1:26" ht="13.5" customHeight="1" x14ac:dyDescent="0.2">
      <c r="A64" s="3"/>
      <c r="B64" s="3"/>
      <c r="C64" s="3"/>
      <c r="D64" s="466" t="s">
        <v>83</v>
      </c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56">
        <f>SUM(S57:S63)</f>
        <v>1273.0041500000002</v>
      </c>
      <c r="T64" s="533">
        <f t="shared" si="3"/>
        <v>1</v>
      </c>
      <c r="U64" s="533"/>
      <c r="V64" s="533"/>
      <c r="W64" s="533"/>
      <c r="X64" s="534"/>
      <c r="Y64" s="534"/>
      <c r="Z64" s="534"/>
    </row>
    <row r="65" spans="1:27" ht="13.5" customHeight="1" x14ac:dyDescent="0.2">
      <c r="A65" s="3"/>
      <c r="B65" s="3"/>
      <c r="C65" s="3"/>
      <c r="D65" s="478" t="s">
        <v>84</v>
      </c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50">
        <f>SUM(S57:S63)</f>
        <v>1273.0041500000002</v>
      </c>
      <c r="T65" s="535">
        <f>(S65/TAEj!B20)</f>
        <v>0.10626746165710521</v>
      </c>
      <c r="U65" s="535"/>
      <c r="V65" s="535"/>
      <c r="W65" s="535"/>
      <c r="X65" s="534"/>
      <c r="Y65" s="534"/>
      <c r="Z65" s="534"/>
    </row>
    <row r="66" spans="1:27" ht="13.5" customHeight="1" x14ac:dyDescent="0.2">
      <c r="A66" s="3"/>
      <c r="B66" s="3"/>
      <c r="C66" s="3"/>
      <c r="D66" s="480" t="s">
        <v>85</v>
      </c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51">
        <f>SUM(Z57:Z63)/7</f>
        <v>1.1294117647058823</v>
      </c>
      <c r="T66" s="481" t="s">
        <v>33</v>
      </c>
      <c r="U66" s="481"/>
      <c r="V66" s="481"/>
      <c r="W66" s="481"/>
      <c r="X66" s="52" t="s">
        <v>34</v>
      </c>
      <c r="Y66" s="52" t="s">
        <v>35</v>
      </c>
      <c r="Z66" s="53" t="s">
        <v>36</v>
      </c>
    </row>
    <row r="67" spans="1:27" ht="12.75" customHeight="1" x14ac:dyDescent="0.2">
      <c r="A67" s="3"/>
      <c r="B67" s="3"/>
      <c r="C67" s="3"/>
      <c r="D67" s="482" t="s">
        <v>86</v>
      </c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83">
        <f>S65/SUM(T67:Z67)</f>
        <v>14.128791897891235</v>
      </c>
      <c r="T67" s="530">
        <f>(53)*1.7</f>
        <v>90.1</v>
      </c>
      <c r="U67" s="530"/>
      <c r="V67" s="530"/>
      <c r="W67" s="530"/>
      <c r="X67" s="54">
        <f>(0)*1</f>
        <v>0</v>
      </c>
      <c r="Y67" s="54">
        <f>(0)*0.58</f>
        <v>0</v>
      </c>
      <c r="Z67" s="55">
        <f>(0)*1</f>
        <v>0</v>
      </c>
      <c r="AA67" s="393" t="s">
        <v>410</v>
      </c>
    </row>
    <row r="68" spans="1:27" ht="12.75" customHeight="1" x14ac:dyDescent="0.2">
      <c r="A68" s="3"/>
      <c r="B68" s="3"/>
      <c r="C68" s="3"/>
      <c r="D68" s="484" t="s">
        <v>87</v>
      </c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56">
        <f>S67/S226</f>
        <v>1.1041562966903569</v>
      </c>
      <c r="T68" s="531"/>
      <c r="U68" s="531"/>
      <c r="V68" s="531"/>
      <c r="W68" s="531"/>
      <c r="X68" s="531"/>
      <c r="Y68" s="531"/>
      <c r="Z68" s="531"/>
    </row>
    <row r="69" spans="1:27" ht="12.75" customHeight="1" x14ac:dyDescent="0.2">
      <c r="A69" s="3"/>
      <c r="B69" s="3"/>
      <c r="C69" s="3"/>
      <c r="D69" s="486" t="s">
        <v>88</v>
      </c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57">
        <f>S66+S68</f>
        <v>2.2335680613962392</v>
      </c>
      <c r="T69" s="531"/>
      <c r="U69" s="531"/>
      <c r="V69" s="531"/>
      <c r="W69" s="531"/>
      <c r="X69" s="531"/>
      <c r="Y69" s="531"/>
      <c r="Z69" s="531"/>
    </row>
    <row r="70" spans="1:27" ht="12.75" customHeight="1" x14ac:dyDescent="0.2">
      <c r="A70" s="3"/>
      <c r="B70" s="3"/>
      <c r="C70" s="3"/>
      <c r="D70" s="471" t="s">
        <v>89</v>
      </c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58">
        <f>S65/S223</f>
        <v>0.10626746165710521</v>
      </c>
      <c r="T70" s="59"/>
      <c r="U70" s="59"/>
      <c r="V70" s="59"/>
      <c r="W70" s="59"/>
      <c r="X70" s="59"/>
      <c r="Y70" s="59"/>
      <c r="Z70" s="59"/>
    </row>
    <row r="71" spans="1:27" ht="12.75" customHeight="1" x14ac:dyDescent="0.2">
      <c r="A71" s="3"/>
      <c r="B71" s="3"/>
      <c r="C71" s="3"/>
      <c r="D71" s="472" t="s">
        <v>90</v>
      </c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58">
        <f>S69/S227</f>
        <v>0.1272720852399451</v>
      </c>
      <c r="T71" s="59"/>
      <c r="U71" s="59"/>
      <c r="V71" s="59"/>
      <c r="W71" s="59"/>
      <c r="X71" s="59"/>
      <c r="Y71" s="59"/>
      <c r="Z71" s="59"/>
    </row>
    <row r="72" spans="1:27" ht="12.75" customHeight="1" x14ac:dyDescent="0.2">
      <c r="A72" s="3"/>
      <c r="B72" s="3"/>
      <c r="C72" s="3"/>
      <c r="D72" s="460" t="s">
        <v>91</v>
      </c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62">
        <f>((S70*0.9)+(S71*0.1))</f>
        <v>0.10836792401538919</v>
      </c>
      <c r="T72" s="59"/>
      <c r="U72" s="59"/>
      <c r="V72" s="59"/>
      <c r="W72" s="59"/>
      <c r="X72" s="84"/>
      <c r="Y72" s="59"/>
      <c r="Z72" s="84"/>
    </row>
    <row r="73" spans="1:27" ht="14.1" customHeight="1" x14ac:dyDescent="0.2">
      <c r="A73" s="3"/>
      <c r="B73" s="3"/>
      <c r="C73" s="532" t="s">
        <v>92</v>
      </c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3"/>
      <c r="V73" s="3"/>
      <c r="W73" s="3"/>
      <c r="X73" s="505"/>
      <c r="Y73" s="505"/>
      <c r="Z73" s="505"/>
    </row>
    <row r="74" spans="1:27" ht="0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505"/>
      <c r="Y74" s="505"/>
      <c r="Z74" s="505"/>
    </row>
    <row r="75" spans="1:27" ht="12" customHeight="1" x14ac:dyDescent="0.2">
      <c r="A75" s="3"/>
      <c r="B75" s="3"/>
      <c r="C75" s="3"/>
      <c r="D75" s="473" t="s">
        <v>93</v>
      </c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3"/>
      <c r="X75" s="505"/>
      <c r="Y75" s="505"/>
      <c r="Z75" s="505"/>
    </row>
    <row r="76" spans="1:27" ht="3.95" customHeight="1" thickBo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05"/>
      <c r="Y76" s="505"/>
      <c r="Z76" s="505"/>
    </row>
    <row r="77" spans="1:27" ht="27" customHeight="1" thickBot="1" x14ac:dyDescent="0.25">
      <c r="A77" s="3"/>
      <c r="B77" s="3"/>
      <c r="C77" s="3"/>
      <c r="D77" s="18" t="s">
        <v>4</v>
      </c>
      <c r="E77" s="19"/>
      <c r="F77" s="20" t="s">
        <v>5</v>
      </c>
      <c r="G77" s="19"/>
      <c r="H77" s="21" t="s">
        <v>6</v>
      </c>
      <c r="I77" s="19"/>
      <c r="J77" s="21" t="s">
        <v>7</v>
      </c>
      <c r="K77" s="19"/>
      <c r="L77" s="21" t="s">
        <v>8</v>
      </c>
      <c r="M77" s="19"/>
      <c r="N77" s="21" t="s">
        <v>9</v>
      </c>
      <c r="O77" s="21" t="s">
        <v>10</v>
      </c>
      <c r="P77" s="21" t="s">
        <v>11</v>
      </c>
      <c r="Q77" s="19"/>
      <c r="R77" s="63" t="s">
        <v>12</v>
      </c>
      <c r="S77" s="386" t="s">
        <v>13</v>
      </c>
      <c r="T77" s="500" t="s">
        <v>14</v>
      </c>
      <c r="U77" s="500"/>
      <c r="V77" s="500"/>
      <c r="W77" s="500"/>
      <c r="X77" s="24" t="s">
        <v>15</v>
      </c>
      <c r="Y77" s="25" t="s">
        <v>16</v>
      </c>
      <c r="Z77" s="26" t="s">
        <v>17</v>
      </c>
    </row>
    <row r="78" spans="1:27" ht="12.75" customHeight="1" thickBot="1" x14ac:dyDescent="0.25">
      <c r="A78" s="3"/>
      <c r="B78" s="3"/>
      <c r="C78" s="3"/>
      <c r="D78" s="27" t="s">
        <v>94</v>
      </c>
      <c r="E78" s="385"/>
      <c r="F78" s="28" t="s">
        <v>95</v>
      </c>
      <c r="G78" s="385"/>
      <c r="H78" s="29" t="s">
        <v>29</v>
      </c>
      <c r="I78" s="385"/>
      <c r="J78" s="29">
        <v>50</v>
      </c>
      <c r="K78" s="385"/>
      <c r="L78" s="29">
        <v>40</v>
      </c>
      <c r="M78" s="385"/>
      <c r="N78" s="64">
        <v>165</v>
      </c>
      <c r="O78" s="64">
        <v>195</v>
      </c>
      <c r="P78" s="29">
        <f t="shared" ref="P78:P83" si="4">MEDIAN(N78,O78)</f>
        <v>180</v>
      </c>
      <c r="Q78" s="385"/>
      <c r="R78" s="65">
        <f>2+23</f>
        <v>25</v>
      </c>
      <c r="S78" s="86">
        <f>(((R78)*(1+0.05)+(((L78)-(R78))/4))*2*5*1*1.1)</f>
        <v>330</v>
      </c>
      <c r="T78" s="476">
        <f>(S78/S$84)</f>
        <v>0.17517992438066596</v>
      </c>
      <c r="U78" s="476"/>
      <c r="V78" s="476"/>
      <c r="W78" s="476"/>
      <c r="X78" s="81">
        <v>4</v>
      </c>
      <c r="Y78" s="376"/>
      <c r="Z78" s="383">
        <f>(X78/S224)</f>
        <v>1.3176470588235294</v>
      </c>
    </row>
    <row r="79" spans="1:27" ht="12.75" customHeight="1" thickBot="1" x14ac:dyDescent="0.25">
      <c r="A79" s="3"/>
      <c r="B79" s="3"/>
      <c r="C79" s="3"/>
      <c r="D79" s="27" t="s">
        <v>96</v>
      </c>
      <c r="E79" s="385"/>
      <c r="F79" s="28" t="s">
        <v>97</v>
      </c>
      <c r="G79" s="385"/>
      <c r="H79" s="29" t="s">
        <v>29</v>
      </c>
      <c r="I79" s="385"/>
      <c r="J79" s="29">
        <v>50</v>
      </c>
      <c r="K79" s="385"/>
      <c r="L79" s="29">
        <f>6+41</f>
        <v>47</v>
      </c>
      <c r="M79" s="385"/>
      <c r="N79" s="64">
        <v>193</v>
      </c>
      <c r="O79" s="64">
        <v>202</v>
      </c>
      <c r="P79" s="29">
        <f t="shared" si="4"/>
        <v>197.5</v>
      </c>
      <c r="Q79" s="385"/>
      <c r="R79" s="65">
        <f>28+1</f>
        <v>29</v>
      </c>
      <c r="S79" s="87">
        <f>((P79)*2*1*1.1)</f>
        <v>434.50000000000006</v>
      </c>
      <c r="T79" s="476">
        <f t="shared" ref="T79:T83" si="5">(S79/S$84)</f>
        <v>0.23065356710121021</v>
      </c>
      <c r="U79" s="476"/>
      <c r="V79" s="476"/>
      <c r="W79" s="476"/>
      <c r="X79" s="81">
        <v>3</v>
      </c>
      <c r="Y79" s="376" t="s">
        <v>73</v>
      </c>
      <c r="Z79" s="383">
        <f>(X79/S224)</f>
        <v>0.9882352941176471</v>
      </c>
    </row>
    <row r="80" spans="1:27" ht="13.5" customHeight="1" thickBot="1" x14ac:dyDescent="0.25">
      <c r="A80" s="3"/>
      <c r="B80" s="3"/>
      <c r="C80" s="3"/>
      <c r="D80" s="27" t="s">
        <v>98</v>
      </c>
      <c r="E80" s="385"/>
      <c r="F80" s="28" t="s">
        <v>99</v>
      </c>
      <c r="G80" s="385"/>
      <c r="H80" s="29" t="s">
        <v>22</v>
      </c>
      <c r="I80" s="385"/>
      <c r="J80" s="29">
        <v>50</v>
      </c>
      <c r="K80" s="385"/>
      <c r="L80" s="29">
        <f>5+47</f>
        <v>52</v>
      </c>
      <c r="M80" s="385"/>
      <c r="N80" s="64">
        <v>131</v>
      </c>
      <c r="O80" s="64">
        <v>154</v>
      </c>
      <c r="P80" s="29">
        <f t="shared" si="4"/>
        <v>142.5</v>
      </c>
      <c r="Q80" s="385"/>
      <c r="R80" s="65">
        <v>17</v>
      </c>
      <c r="S80" s="87">
        <f>((P80)*1*1.15*1.1)</f>
        <v>180.26250000000002</v>
      </c>
      <c r="T80" s="476">
        <f t="shared" si="5"/>
        <v>9.5692033692938785E-2</v>
      </c>
      <c r="U80" s="476"/>
      <c r="V80" s="476"/>
      <c r="W80" s="476"/>
      <c r="X80" s="81">
        <v>3</v>
      </c>
      <c r="Y80" s="376" t="s">
        <v>73</v>
      </c>
      <c r="Z80" s="383">
        <f>(X80/S224)</f>
        <v>0.9882352941176471</v>
      </c>
    </row>
    <row r="81" spans="1:27" ht="13.5" customHeight="1" thickBot="1" x14ac:dyDescent="0.25">
      <c r="A81" s="3"/>
      <c r="B81" s="3"/>
      <c r="C81" s="3"/>
      <c r="D81" s="27" t="s">
        <v>100</v>
      </c>
      <c r="E81" s="385"/>
      <c r="F81" s="28" t="s">
        <v>101</v>
      </c>
      <c r="G81" s="385"/>
      <c r="H81" s="29" t="s">
        <v>29</v>
      </c>
      <c r="I81" s="385"/>
      <c r="J81" s="29">
        <v>50</v>
      </c>
      <c r="K81" s="385"/>
      <c r="L81" s="29">
        <v>58</v>
      </c>
      <c r="M81" s="385"/>
      <c r="N81" s="64">
        <v>165</v>
      </c>
      <c r="O81" s="64">
        <v>144</v>
      </c>
      <c r="P81" s="29">
        <f t="shared" si="4"/>
        <v>154.5</v>
      </c>
      <c r="Q81" s="385"/>
      <c r="R81" s="65">
        <v>0</v>
      </c>
      <c r="S81" s="87">
        <f>((P81)*4.5*1*1.1)</f>
        <v>764.77500000000009</v>
      </c>
      <c r="T81" s="476">
        <f t="shared" si="5"/>
        <v>0.40597947475219343</v>
      </c>
      <c r="U81" s="476"/>
      <c r="V81" s="476"/>
      <c r="W81" s="476"/>
      <c r="X81" s="81">
        <v>2</v>
      </c>
      <c r="Y81" s="376" t="s">
        <v>73</v>
      </c>
      <c r="Z81" s="383">
        <f>(X81/S224)</f>
        <v>0.6588235294117647</v>
      </c>
    </row>
    <row r="82" spans="1:27" s="41" customFormat="1" ht="13.5" customHeight="1" thickBot="1" x14ac:dyDescent="0.25">
      <c r="A82" s="375"/>
      <c r="B82" s="375"/>
      <c r="C82" s="375"/>
      <c r="D82" s="526">
        <v>43743</v>
      </c>
      <c r="E82" s="527"/>
      <c r="F82" s="68" t="s">
        <v>102</v>
      </c>
      <c r="G82" s="385"/>
      <c r="H82" s="44" t="s">
        <v>22</v>
      </c>
      <c r="I82" s="385"/>
      <c r="J82" s="44">
        <v>0</v>
      </c>
      <c r="K82" s="385"/>
      <c r="L82" s="44">
        <v>0</v>
      </c>
      <c r="M82" s="385"/>
      <c r="N82" s="64">
        <v>62</v>
      </c>
      <c r="O82" s="64">
        <v>57</v>
      </c>
      <c r="P82" s="29">
        <f t="shared" si="4"/>
        <v>59.5</v>
      </c>
      <c r="Q82" s="385"/>
      <c r="R82" s="93">
        <v>0</v>
      </c>
      <c r="S82" s="88">
        <f>(((R82)*(1+0.1)+(((L82)-(R82))/4))*1*4*1.15*1.1)</f>
        <v>0</v>
      </c>
      <c r="T82" s="476">
        <f t="shared" ref="T82" si="6">(S82/S$84)</f>
        <v>0</v>
      </c>
      <c r="U82" s="476"/>
      <c r="V82" s="476"/>
      <c r="W82" s="476"/>
      <c r="X82" s="82">
        <v>3</v>
      </c>
      <c r="Y82" s="392"/>
      <c r="Z82" s="55"/>
    </row>
    <row r="83" spans="1:27" ht="12.75" customHeight="1" thickBot="1" x14ac:dyDescent="0.25">
      <c r="A83" s="3"/>
      <c r="B83" s="3"/>
      <c r="C83" s="3"/>
      <c r="D83" s="528"/>
      <c r="E83" s="529"/>
      <c r="F83" s="68" t="s">
        <v>102</v>
      </c>
      <c r="G83" s="67"/>
      <c r="H83" s="69" t="s">
        <v>20</v>
      </c>
      <c r="I83" s="67"/>
      <c r="J83" s="69">
        <v>40</v>
      </c>
      <c r="K83" s="67"/>
      <c r="L83" s="69">
        <v>36</v>
      </c>
      <c r="M83" s="67"/>
      <c r="N83" s="395">
        <v>85</v>
      </c>
      <c r="O83" s="395">
        <v>87</v>
      </c>
      <c r="P83" s="69">
        <f t="shared" si="4"/>
        <v>86</v>
      </c>
      <c r="Q83" s="67"/>
      <c r="R83" s="70">
        <f>30+6</f>
        <v>36</v>
      </c>
      <c r="S83" s="88">
        <f>(((R83)*(1+0.1)+(((L83)-(R83))/4))*1*4*1*1.1)</f>
        <v>174.24</v>
      </c>
      <c r="T83" s="506">
        <f t="shared" si="5"/>
        <v>9.2495000072991634E-2</v>
      </c>
      <c r="U83" s="506"/>
      <c r="V83" s="506"/>
      <c r="W83" s="506"/>
      <c r="X83" s="82">
        <v>3</v>
      </c>
      <c r="Y83" s="71"/>
      <c r="Z83" s="55">
        <f>(X83/S224)</f>
        <v>0.9882352941176471</v>
      </c>
    </row>
    <row r="84" spans="1:27" ht="12.75" customHeight="1" thickBot="1" x14ac:dyDescent="0.25">
      <c r="A84" s="3"/>
      <c r="B84" s="3"/>
      <c r="C84" s="3"/>
      <c r="D84" s="525" t="s">
        <v>103</v>
      </c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89">
        <f>SUM(S78:S83)</f>
        <v>1883.7775000000001</v>
      </c>
      <c r="T84" s="512">
        <f>SUM(T78:W83)</f>
        <v>1</v>
      </c>
      <c r="U84" s="512"/>
      <c r="V84" s="512"/>
      <c r="W84" s="512"/>
      <c r="X84" s="468"/>
      <c r="Y84" s="468"/>
      <c r="Z84" s="468"/>
    </row>
    <row r="85" spans="1:27" ht="15" customHeight="1" thickBot="1" x14ac:dyDescent="0.25">
      <c r="A85" s="3"/>
      <c r="B85" s="3"/>
      <c r="C85" s="3"/>
      <c r="D85" s="478" t="s">
        <v>104</v>
      </c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90">
        <f>SUM(S78:S83,S96)</f>
        <v>1947.7775000000001</v>
      </c>
      <c r="T85" s="512">
        <f>(S85/TAEj!B20)</f>
        <v>0.162595990592664</v>
      </c>
      <c r="U85" s="512"/>
      <c r="V85" s="512"/>
      <c r="W85" s="512"/>
      <c r="X85" s="477"/>
      <c r="Y85" s="477"/>
      <c r="Z85" s="477"/>
    </row>
    <row r="86" spans="1:27" ht="15" customHeight="1" x14ac:dyDescent="0.2">
      <c r="A86" s="3"/>
      <c r="B86" s="3"/>
      <c r="C86" s="3"/>
      <c r="D86" s="480" t="s">
        <v>105</v>
      </c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51">
        <f>SUM(Z78:Z83)/5</f>
        <v>0.9882352941176471</v>
      </c>
      <c r="T86" s="481" t="s">
        <v>33</v>
      </c>
      <c r="U86" s="481"/>
      <c r="V86" s="481"/>
      <c r="W86" s="481"/>
      <c r="X86" s="52" t="s">
        <v>34</v>
      </c>
      <c r="Y86" s="52" t="s">
        <v>35</v>
      </c>
      <c r="Z86" s="53" t="s">
        <v>36</v>
      </c>
    </row>
    <row r="87" spans="1:27" ht="15" customHeight="1" x14ac:dyDescent="0.2">
      <c r="A87" s="3"/>
      <c r="B87" s="3"/>
      <c r="C87" s="3"/>
      <c r="D87" s="482" t="s">
        <v>106</v>
      </c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83">
        <v>17.88</v>
      </c>
      <c r="T87" s="508">
        <f>(51)*1.7</f>
        <v>86.7</v>
      </c>
      <c r="U87" s="483"/>
      <c r="V87" s="483"/>
      <c r="W87" s="483"/>
      <c r="X87" s="54">
        <f>(0)*1</f>
        <v>0</v>
      </c>
      <c r="Y87" s="54">
        <f>(0)*0.58</f>
        <v>0</v>
      </c>
      <c r="Z87" s="55">
        <f>(0)*1</f>
        <v>0</v>
      </c>
      <c r="AA87" s="393" t="s">
        <v>410</v>
      </c>
    </row>
    <row r="88" spans="1:27" ht="15" customHeight="1" x14ac:dyDescent="0.2">
      <c r="A88" s="3"/>
      <c r="B88" s="3"/>
      <c r="C88" s="3"/>
      <c r="D88" s="484" t="s">
        <v>107</v>
      </c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56">
        <v>1.54</v>
      </c>
      <c r="T88" s="485"/>
      <c r="U88" s="485"/>
      <c r="V88" s="485"/>
      <c r="W88" s="485"/>
      <c r="X88" s="485"/>
      <c r="Y88" s="485"/>
      <c r="Z88" s="485"/>
    </row>
    <row r="89" spans="1:27" ht="15" customHeight="1" x14ac:dyDescent="0.2">
      <c r="A89" s="3"/>
      <c r="B89" s="3"/>
      <c r="C89" s="3"/>
      <c r="D89" s="486" t="s">
        <v>108</v>
      </c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57">
        <v>2.57</v>
      </c>
      <c r="T89" s="485"/>
      <c r="U89" s="485"/>
      <c r="V89" s="485"/>
      <c r="W89" s="485"/>
      <c r="X89" s="485"/>
      <c r="Y89" s="485"/>
      <c r="Z89" s="485"/>
    </row>
    <row r="90" spans="1:27" ht="15" customHeight="1" x14ac:dyDescent="0.2">
      <c r="A90" s="3"/>
      <c r="B90" s="3"/>
      <c r="C90" s="3"/>
      <c r="D90" s="471" t="s">
        <v>109</v>
      </c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58">
        <f>S85/S223</f>
        <v>0.162595990592664</v>
      </c>
      <c r="T90" s="72"/>
      <c r="U90" s="72"/>
      <c r="V90" s="72"/>
      <c r="W90" s="72"/>
      <c r="X90" s="72"/>
      <c r="Y90" s="72"/>
      <c r="Z90" s="72"/>
    </row>
    <row r="91" spans="1:27" ht="15" customHeight="1" x14ac:dyDescent="0.2">
      <c r="A91" s="3"/>
      <c r="B91" s="3"/>
      <c r="C91" s="3"/>
      <c r="D91" s="472" t="s">
        <v>110</v>
      </c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58">
        <f>S89/S227</f>
        <v>0.14644248577864696</v>
      </c>
      <c r="T91" s="72"/>
      <c r="U91" s="72"/>
      <c r="V91" s="72"/>
      <c r="W91" s="72"/>
      <c r="X91" s="72"/>
      <c r="Y91" s="72"/>
      <c r="Z91" s="72"/>
    </row>
    <row r="92" spans="1:27" ht="15" customHeight="1" x14ac:dyDescent="0.2">
      <c r="A92" s="3"/>
      <c r="B92" s="3"/>
      <c r="C92" s="3"/>
      <c r="D92" s="460" t="s">
        <v>111</v>
      </c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62">
        <f>((S90*0.9)+(S91*0.1))</f>
        <v>0.16098064011126231</v>
      </c>
      <c r="T92" s="72"/>
      <c r="U92" s="72"/>
      <c r="V92" s="72"/>
      <c r="W92" s="72"/>
      <c r="X92" s="72"/>
      <c r="Y92" s="72"/>
      <c r="Z92" s="72"/>
    </row>
    <row r="93" spans="1:27" ht="15" customHeight="1" x14ac:dyDescent="0.2">
      <c r="A93" s="3"/>
      <c r="B93" s="3"/>
      <c r="C93" s="3"/>
      <c r="D93" s="473" t="s">
        <v>62</v>
      </c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72"/>
      <c r="X93" s="72"/>
      <c r="Y93" s="72"/>
      <c r="Z93" s="72"/>
    </row>
    <row r="94" spans="1:27" ht="26.25" customHeight="1" x14ac:dyDescent="0.2">
      <c r="A94" s="3"/>
      <c r="B94" s="3"/>
      <c r="C94" s="3"/>
      <c r="D94" s="18" t="s">
        <v>4</v>
      </c>
      <c r="E94" s="19"/>
      <c r="F94" s="20" t="s">
        <v>5</v>
      </c>
      <c r="G94" s="19"/>
      <c r="H94" s="21" t="s">
        <v>6</v>
      </c>
      <c r="I94" s="19"/>
      <c r="J94" s="21" t="s">
        <v>7</v>
      </c>
      <c r="K94" s="19"/>
      <c r="L94" s="21" t="s">
        <v>8</v>
      </c>
      <c r="M94" s="19"/>
      <c r="N94" s="21" t="s">
        <v>9</v>
      </c>
      <c r="O94" s="21" t="s">
        <v>10</v>
      </c>
      <c r="P94" s="21" t="s">
        <v>11</v>
      </c>
      <c r="Q94" s="19"/>
      <c r="R94" s="63" t="s">
        <v>12</v>
      </c>
      <c r="S94" s="23" t="s">
        <v>63</v>
      </c>
      <c r="T94" s="521" t="s">
        <v>14</v>
      </c>
      <c r="U94" s="521"/>
      <c r="V94" s="521"/>
      <c r="W94" s="521"/>
      <c r="X94" s="73" t="s">
        <v>64</v>
      </c>
      <c r="Y94" s="74"/>
      <c r="Z94" s="75" t="s">
        <v>65</v>
      </c>
    </row>
    <row r="95" spans="1:27" ht="15" customHeight="1" x14ac:dyDescent="0.2">
      <c r="A95" s="3"/>
      <c r="B95" s="3"/>
      <c r="C95" s="3"/>
      <c r="D95" s="91" t="s">
        <v>112</v>
      </c>
      <c r="E95" s="3"/>
      <c r="F95" s="92" t="s">
        <v>113</v>
      </c>
      <c r="G95" s="3"/>
      <c r="H95" s="44" t="s">
        <v>29</v>
      </c>
      <c r="I95" s="3"/>
      <c r="J95" s="44" t="s">
        <v>66</v>
      </c>
      <c r="K95" s="3"/>
      <c r="L95" s="44">
        <v>16</v>
      </c>
      <c r="M95" s="3"/>
      <c r="N95" s="64" t="s">
        <v>66</v>
      </c>
      <c r="O95" s="64">
        <v>32</v>
      </c>
      <c r="P95" s="44">
        <f>MEDIAN(N95:O95)</f>
        <v>32</v>
      </c>
      <c r="Q95" s="3"/>
      <c r="R95" s="93">
        <v>0</v>
      </c>
      <c r="S95" s="76">
        <f>((P95)*2)</f>
        <v>64</v>
      </c>
      <c r="T95" s="522">
        <f>(S95/S84)</f>
        <v>3.397428836473522E-2</v>
      </c>
      <c r="U95" s="522"/>
      <c r="V95" s="522"/>
      <c r="W95" s="522"/>
      <c r="X95" s="77">
        <v>3</v>
      </c>
      <c r="Y95" s="78"/>
      <c r="Z95" s="79">
        <f>X95/S225</f>
        <v>0.89999999999999991</v>
      </c>
    </row>
    <row r="96" spans="1:27" ht="15" customHeight="1" x14ac:dyDescent="0.2">
      <c r="A96" s="3"/>
      <c r="B96" s="3"/>
      <c r="C96" s="3"/>
      <c r="D96" s="469" t="s">
        <v>114</v>
      </c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80">
        <f>S95</f>
        <v>64</v>
      </c>
      <c r="T96" s="523">
        <f>T95</f>
        <v>3.397428836473522E-2</v>
      </c>
      <c r="U96" s="523"/>
      <c r="V96" s="523"/>
      <c r="W96" s="523"/>
      <c r="X96" s="477"/>
      <c r="Y96" s="477"/>
      <c r="Z96" s="477"/>
    </row>
    <row r="97" spans="1:26" ht="15" customHeight="1" x14ac:dyDescent="0.2">
      <c r="A97" s="3"/>
      <c r="B97" s="3"/>
      <c r="C97" s="3"/>
      <c r="D97" s="460" t="s">
        <v>115</v>
      </c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524">
        <f>SUM(Z95)/1</f>
        <v>0.89999999999999991</v>
      </c>
      <c r="T97" s="524"/>
      <c r="U97" s="524"/>
      <c r="V97" s="524"/>
      <c r="W97" s="524"/>
      <c r="X97" s="477"/>
      <c r="Y97" s="477"/>
      <c r="Z97" s="477"/>
    </row>
    <row r="98" spans="1:26" ht="15" customHeight="1" x14ac:dyDescent="0.2">
      <c r="A98" s="3"/>
      <c r="B98" s="3"/>
      <c r="C98" s="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5"/>
      <c r="T98" s="72"/>
      <c r="U98" s="72"/>
      <c r="V98" s="72"/>
      <c r="W98" s="72"/>
      <c r="X98" s="72"/>
      <c r="Y98" s="72"/>
      <c r="Z98" s="72"/>
    </row>
    <row r="99" spans="1:26" ht="13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05"/>
      <c r="Y99" s="505"/>
      <c r="Z99" s="505"/>
    </row>
    <row r="100" spans="1:26" ht="14.1" customHeight="1" x14ac:dyDescent="0.2">
      <c r="A100" s="3"/>
      <c r="B100" s="3"/>
      <c r="C100" s="504" t="s">
        <v>116</v>
      </c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4"/>
      <c r="S100" s="504"/>
      <c r="T100" s="504"/>
      <c r="U100" s="3"/>
      <c r="V100" s="3"/>
      <c r="W100" s="3"/>
      <c r="X100" s="505"/>
      <c r="Y100" s="505"/>
      <c r="Z100" s="505"/>
    </row>
    <row r="101" spans="1:26" ht="0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05"/>
      <c r="Y101" s="505"/>
      <c r="Z101" s="505"/>
    </row>
    <row r="102" spans="1:26" ht="12" customHeight="1" x14ac:dyDescent="0.2">
      <c r="A102" s="3"/>
      <c r="B102" s="3"/>
      <c r="C102" s="3"/>
      <c r="D102" s="473" t="s">
        <v>117</v>
      </c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3"/>
      <c r="X102" s="505"/>
      <c r="Y102" s="505"/>
      <c r="Z102" s="505"/>
    </row>
    <row r="103" spans="1:26" ht="3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05"/>
      <c r="Y103" s="505"/>
      <c r="Z103" s="505"/>
    </row>
    <row r="104" spans="1:26" ht="27" customHeight="1" x14ac:dyDescent="0.2">
      <c r="A104" s="3"/>
      <c r="B104" s="3"/>
      <c r="C104" s="3"/>
      <c r="D104" s="18" t="s">
        <v>4</v>
      </c>
      <c r="E104" s="19"/>
      <c r="F104" s="20" t="s">
        <v>5</v>
      </c>
      <c r="G104" s="19"/>
      <c r="H104" s="21" t="s">
        <v>6</v>
      </c>
      <c r="I104" s="19"/>
      <c r="J104" s="21" t="s">
        <v>7</v>
      </c>
      <c r="K104" s="19"/>
      <c r="L104" s="21" t="s">
        <v>8</v>
      </c>
      <c r="M104" s="19"/>
      <c r="N104" s="21" t="s">
        <v>9</v>
      </c>
      <c r="O104" s="21" t="s">
        <v>10</v>
      </c>
      <c r="P104" s="21" t="s">
        <v>11</v>
      </c>
      <c r="Q104" s="19"/>
      <c r="R104" s="63" t="s">
        <v>12</v>
      </c>
      <c r="S104" s="96" t="s">
        <v>13</v>
      </c>
      <c r="T104" s="500" t="s">
        <v>14</v>
      </c>
      <c r="U104" s="500"/>
      <c r="V104" s="500"/>
      <c r="W104" s="500"/>
      <c r="X104" s="97" t="s">
        <v>15</v>
      </c>
      <c r="Y104" s="98" t="s">
        <v>16</v>
      </c>
      <c r="Z104" s="99" t="s">
        <v>17</v>
      </c>
    </row>
    <row r="105" spans="1:26" ht="13.5" customHeight="1" x14ac:dyDescent="0.2">
      <c r="A105" s="3"/>
      <c r="B105" s="3"/>
      <c r="C105" s="3"/>
      <c r="D105" s="27" t="s">
        <v>118</v>
      </c>
      <c r="E105" s="3"/>
      <c r="F105" s="28" t="s">
        <v>119</v>
      </c>
      <c r="G105" s="3"/>
      <c r="H105" s="29" t="s">
        <v>22</v>
      </c>
      <c r="I105" s="3"/>
      <c r="J105" s="29">
        <v>45</v>
      </c>
      <c r="K105" s="100"/>
      <c r="L105" s="29">
        <f>8+43</f>
        <v>51</v>
      </c>
      <c r="M105" s="100"/>
      <c r="N105" s="101">
        <v>150</v>
      </c>
      <c r="O105" s="101">
        <v>181</v>
      </c>
      <c r="P105" s="29">
        <f t="shared" ref="P105:P112" si="7">MEDIAN(N105,O105)</f>
        <v>165.5</v>
      </c>
      <c r="Q105" s="100"/>
      <c r="R105" s="65">
        <v>13</v>
      </c>
      <c r="S105" s="102">
        <f>((P105)*1*1.15*1.1)</f>
        <v>209.35750000000002</v>
      </c>
      <c r="T105" s="476">
        <f t="shared" ref="T105:T112" si="8">(S105/S$114)</f>
        <v>0.23698113489465497</v>
      </c>
      <c r="U105" s="476"/>
      <c r="V105" s="476"/>
      <c r="W105" s="476"/>
      <c r="X105" s="103">
        <v>3</v>
      </c>
      <c r="Y105" s="104" t="s">
        <v>73</v>
      </c>
      <c r="Z105" s="105">
        <f>(X105/S224)</f>
        <v>0.9882352941176471</v>
      </c>
    </row>
    <row r="106" spans="1:26" ht="13.5" customHeight="1" x14ac:dyDescent="0.2">
      <c r="A106" s="3"/>
      <c r="B106" s="3"/>
      <c r="C106" s="3"/>
      <c r="D106" s="27" t="s">
        <v>120</v>
      </c>
      <c r="E106" s="3"/>
      <c r="F106" s="28" t="s">
        <v>121</v>
      </c>
      <c r="G106" s="3"/>
      <c r="H106" s="29" t="s">
        <v>22</v>
      </c>
      <c r="I106" s="3"/>
      <c r="J106" s="29">
        <v>50</v>
      </c>
      <c r="K106" s="100"/>
      <c r="L106" s="29">
        <v>44</v>
      </c>
      <c r="M106" s="100"/>
      <c r="N106" s="101">
        <v>179</v>
      </c>
      <c r="O106" s="101">
        <v>183</v>
      </c>
      <c r="P106" s="29">
        <f t="shared" si="7"/>
        <v>181</v>
      </c>
      <c r="Q106" s="100"/>
      <c r="R106" s="65">
        <f>31+5</f>
        <v>36</v>
      </c>
      <c r="S106" s="106">
        <f>(((R106)*(1+0.12)+(((L106)-(R106))/4))*1*4*1.15*1.1)</f>
        <v>214.13920000000005</v>
      </c>
      <c r="T106" s="464">
        <f t="shared" si="8"/>
        <v>0.24239375537744531</v>
      </c>
      <c r="U106" s="464"/>
      <c r="V106" s="464"/>
      <c r="W106" s="464"/>
      <c r="X106" s="35">
        <v>3</v>
      </c>
      <c r="Y106" s="107"/>
      <c r="Z106" s="108">
        <f>(X106/S224)</f>
        <v>0.9882352941176471</v>
      </c>
    </row>
    <row r="107" spans="1:26" s="411" customFormat="1" ht="12" customHeight="1" x14ac:dyDescent="0.2">
      <c r="A107" s="399"/>
      <c r="B107" s="399"/>
      <c r="C107" s="399"/>
      <c r="D107" s="412" t="s">
        <v>122</v>
      </c>
      <c r="E107" s="399"/>
      <c r="F107" s="413" t="s">
        <v>123</v>
      </c>
      <c r="G107" s="399"/>
      <c r="H107" s="404" t="s">
        <v>48</v>
      </c>
      <c r="I107" s="399"/>
      <c r="J107" s="404">
        <v>0</v>
      </c>
      <c r="K107" s="414"/>
      <c r="L107" s="404">
        <v>0</v>
      </c>
      <c r="M107" s="414"/>
      <c r="N107" s="415">
        <v>4</v>
      </c>
      <c r="O107" s="415">
        <v>3</v>
      </c>
      <c r="P107" s="404">
        <f t="shared" si="7"/>
        <v>3.5</v>
      </c>
      <c r="Q107" s="414"/>
      <c r="R107" s="416">
        <v>2</v>
      </c>
      <c r="S107" s="417">
        <f>((R107)*(1+0.12))*1*4*1*1.1</f>
        <v>9.8560000000000016</v>
      </c>
      <c r="T107" s="496">
        <f t="shared" si="8"/>
        <v>1.1156448016057316E-2</v>
      </c>
      <c r="U107" s="519"/>
      <c r="V107" s="519"/>
      <c r="W107" s="520"/>
      <c r="X107" s="513">
        <v>4</v>
      </c>
      <c r="Y107" s="514"/>
      <c r="Z107" s="515">
        <f>(X107/S224)</f>
        <v>1.3176470588235294</v>
      </c>
    </row>
    <row r="108" spans="1:26" ht="12.75" customHeight="1" x14ac:dyDescent="0.2">
      <c r="A108" s="3"/>
      <c r="B108" s="3"/>
      <c r="C108" s="3"/>
      <c r="D108" s="27" t="s">
        <v>122</v>
      </c>
      <c r="E108" s="3"/>
      <c r="F108" s="28" t="s">
        <v>124</v>
      </c>
      <c r="G108" s="3"/>
      <c r="H108" s="29" t="s">
        <v>22</v>
      </c>
      <c r="I108" s="3"/>
      <c r="J108" s="29">
        <v>50</v>
      </c>
      <c r="K108" s="100"/>
      <c r="L108" s="29">
        <v>24</v>
      </c>
      <c r="M108" s="100"/>
      <c r="N108" s="101">
        <v>80</v>
      </c>
      <c r="O108" s="101">
        <v>58</v>
      </c>
      <c r="P108" s="29">
        <f t="shared" si="7"/>
        <v>69</v>
      </c>
      <c r="Q108" s="100"/>
      <c r="R108" s="65">
        <f>7+4</f>
        <v>11</v>
      </c>
      <c r="S108" s="394">
        <f>(((R108)*(1+0.12)+(((L108)-(R108))/4))*1*4*1.15*1.1)</f>
        <v>78.784200000000013</v>
      </c>
      <c r="T108" s="496">
        <f t="shared" si="8"/>
        <v>8.917936604978316E-2</v>
      </c>
      <c r="U108" s="519"/>
      <c r="V108" s="519"/>
      <c r="W108" s="520"/>
      <c r="X108" s="513"/>
      <c r="Y108" s="514"/>
      <c r="Z108" s="515"/>
    </row>
    <row r="109" spans="1:26" ht="12" customHeight="1" x14ac:dyDescent="0.2">
      <c r="A109" s="3"/>
      <c r="B109" s="3"/>
      <c r="C109" s="3"/>
      <c r="D109" s="27" t="s">
        <v>125</v>
      </c>
      <c r="E109" s="3"/>
      <c r="F109" s="28" t="s">
        <v>126</v>
      </c>
      <c r="G109" s="3"/>
      <c r="H109" s="29" t="s">
        <v>48</v>
      </c>
      <c r="I109" s="3"/>
      <c r="J109" s="29">
        <v>50</v>
      </c>
      <c r="K109" s="100"/>
      <c r="L109" s="29">
        <v>33</v>
      </c>
      <c r="M109" s="100"/>
      <c r="N109" s="101">
        <v>69</v>
      </c>
      <c r="O109" s="101">
        <v>61</v>
      </c>
      <c r="P109" s="29">
        <f t="shared" si="7"/>
        <v>65</v>
      </c>
      <c r="Q109" s="100"/>
      <c r="R109" s="65">
        <v>0</v>
      </c>
      <c r="S109" s="394">
        <f>(((R109)*(1+0.115)+(((L109)-(R109))/4))*1*4*1*1.1)</f>
        <v>36.300000000000004</v>
      </c>
      <c r="T109" s="496">
        <f t="shared" si="8"/>
        <v>4.10895964877111E-2</v>
      </c>
      <c r="U109" s="519"/>
      <c r="V109" s="519"/>
      <c r="W109" s="520"/>
      <c r="X109" s="513">
        <v>3</v>
      </c>
      <c r="Y109" s="514"/>
      <c r="Z109" s="515">
        <f>(X109/S224)</f>
        <v>0.9882352941176471</v>
      </c>
    </row>
    <row r="110" spans="1:26" s="411" customFormat="1" ht="12" customHeight="1" x14ac:dyDescent="0.2">
      <c r="A110" s="399"/>
      <c r="B110" s="399"/>
      <c r="C110" s="399"/>
      <c r="D110" s="412" t="s">
        <v>125</v>
      </c>
      <c r="E110" s="399"/>
      <c r="F110" s="413" t="s">
        <v>127</v>
      </c>
      <c r="G110" s="399"/>
      <c r="H110" s="404" t="s">
        <v>22</v>
      </c>
      <c r="I110" s="399"/>
      <c r="J110" s="404">
        <v>50</v>
      </c>
      <c r="K110" s="414"/>
      <c r="L110" s="404">
        <v>16</v>
      </c>
      <c r="M110" s="414"/>
      <c r="N110" s="415">
        <v>118</v>
      </c>
      <c r="O110" s="415">
        <v>118</v>
      </c>
      <c r="P110" s="404">
        <f t="shared" si="7"/>
        <v>118</v>
      </c>
      <c r="Q110" s="414"/>
      <c r="R110" s="416">
        <f>10+6</f>
        <v>16</v>
      </c>
      <c r="S110" s="417">
        <f>(((R110)*(1+0.115)+(((L110)-(R110))/4))*1*4*1.15*1.1)</f>
        <v>90.270399999999995</v>
      </c>
      <c r="T110" s="496">
        <f t="shared" si="8"/>
        <v>0.10218111048992494</v>
      </c>
      <c r="U110" s="519"/>
      <c r="V110" s="519"/>
      <c r="W110" s="520"/>
      <c r="X110" s="513"/>
      <c r="Y110" s="514"/>
      <c r="Z110" s="515"/>
    </row>
    <row r="111" spans="1:26" s="411" customFormat="1" ht="12" customHeight="1" thickBot="1" x14ac:dyDescent="0.25">
      <c r="A111" s="399"/>
      <c r="B111" s="399"/>
      <c r="C111" s="399"/>
      <c r="D111" s="412" t="s">
        <v>128</v>
      </c>
      <c r="E111" s="399"/>
      <c r="F111" s="413" t="s">
        <v>129</v>
      </c>
      <c r="G111" s="399"/>
      <c r="H111" s="404" t="s">
        <v>48</v>
      </c>
      <c r="I111" s="399"/>
      <c r="J111" s="404">
        <v>0</v>
      </c>
      <c r="K111" s="414"/>
      <c r="L111" s="404">
        <v>0</v>
      </c>
      <c r="M111" s="414"/>
      <c r="N111" s="415">
        <v>122</v>
      </c>
      <c r="O111" s="415">
        <v>81</v>
      </c>
      <c r="P111" s="404">
        <f t="shared" si="7"/>
        <v>101.5</v>
      </c>
      <c r="Q111" s="414"/>
      <c r="R111" s="416">
        <f>32+1</f>
        <v>33</v>
      </c>
      <c r="S111" s="417">
        <f>((R111)*(1+0.1))*1*4*1*1.1</f>
        <v>159.72000000000003</v>
      </c>
      <c r="T111" s="496">
        <f t="shared" si="8"/>
        <v>0.18079422454592883</v>
      </c>
      <c r="U111" s="519"/>
      <c r="V111" s="519"/>
      <c r="W111" s="520"/>
      <c r="X111" s="516">
        <v>4</v>
      </c>
      <c r="Y111" s="517"/>
      <c r="Z111" s="518">
        <f>(X111/S224)</f>
        <v>1.3176470588235294</v>
      </c>
    </row>
    <row r="112" spans="1:26" s="411" customFormat="1" ht="12" customHeight="1" thickBot="1" x14ac:dyDescent="0.25">
      <c r="A112" s="399"/>
      <c r="B112" s="399"/>
      <c r="C112" s="399"/>
      <c r="D112" s="400" t="s">
        <v>128</v>
      </c>
      <c r="E112" s="401"/>
      <c r="F112" s="402" t="s">
        <v>130</v>
      </c>
      <c r="G112" s="401"/>
      <c r="H112" s="403" t="s">
        <v>22</v>
      </c>
      <c r="I112" s="401"/>
      <c r="J112" s="404">
        <v>50</v>
      </c>
      <c r="K112" s="418"/>
      <c r="L112" s="403">
        <v>40</v>
      </c>
      <c r="M112" s="418"/>
      <c r="N112" s="415">
        <v>47</v>
      </c>
      <c r="O112" s="415">
        <v>80</v>
      </c>
      <c r="P112" s="404">
        <f t="shared" si="7"/>
        <v>63.5</v>
      </c>
      <c r="Q112" s="418"/>
      <c r="R112" s="406">
        <v>8</v>
      </c>
      <c r="S112" s="417">
        <f>(((R112)*(1+0.1)+(((L112)-(R112))/4))*1*4*1.15*1.1)</f>
        <v>85.00800000000001</v>
      </c>
      <c r="T112" s="496">
        <f t="shared" si="8"/>
        <v>9.6224364138494348E-2</v>
      </c>
      <c r="U112" s="519"/>
      <c r="V112" s="519"/>
      <c r="W112" s="520"/>
      <c r="X112" s="516"/>
      <c r="Y112" s="517"/>
      <c r="Z112" s="518"/>
    </row>
    <row r="113" spans="1:27" ht="14.25" customHeight="1" thickBot="1" x14ac:dyDescent="0.25">
      <c r="A113" s="3"/>
      <c r="B113" s="3"/>
      <c r="C113" s="3"/>
      <c r="D113" s="466" t="s">
        <v>131</v>
      </c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90">
        <f>SUM(S105:S112)</f>
        <v>883.4353000000001</v>
      </c>
      <c r="T113" s="467">
        <f>SUM(T105:W112)</f>
        <v>1.0000000000000002</v>
      </c>
      <c r="U113" s="467"/>
      <c r="V113" s="467"/>
      <c r="W113" s="467"/>
      <c r="X113" s="477"/>
      <c r="Y113" s="477"/>
      <c r="Z113" s="477"/>
    </row>
    <row r="114" spans="1:27" ht="13.5" customHeight="1" x14ac:dyDescent="0.2">
      <c r="A114" s="3"/>
      <c r="B114" s="3"/>
      <c r="C114" s="3"/>
      <c r="D114" s="478" t="s">
        <v>132</v>
      </c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90">
        <f>SUM(S105:S112)</f>
        <v>883.4353000000001</v>
      </c>
      <c r="T114" s="512">
        <f>(S114/TAEj!B20)</f>
        <v>7.3747149111244636E-2</v>
      </c>
      <c r="U114" s="512"/>
      <c r="V114" s="512"/>
      <c r="W114" s="512"/>
      <c r="X114" s="477"/>
      <c r="Y114" s="477"/>
      <c r="Z114" s="477"/>
    </row>
    <row r="115" spans="1:27" ht="13.5" customHeight="1" x14ac:dyDescent="0.2">
      <c r="A115" s="3"/>
      <c r="B115" s="3"/>
      <c r="C115" s="3"/>
      <c r="D115" s="480" t="s">
        <v>133</v>
      </c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51">
        <f>SUM(Z105:Z112)/5</f>
        <v>1.1199999999999999</v>
      </c>
      <c r="T115" s="481" t="s">
        <v>33</v>
      </c>
      <c r="U115" s="481"/>
      <c r="V115" s="481"/>
      <c r="W115" s="481"/>
      <c r="X115" s="52" t="s">
        <v>34</v>
      </c>
      <c r="Y115" s="52" t="s">
        <v>35</v>
      </c>
      <c r="Z115" s="53" t="s">
        <v>36</v>
      </c>
    </row>
    <row r="116" spans="1:27" ht="13.5" customHeight="1" x14ac:dyDescent="0.2">
      <c r="A116" s="3"/>
      <c r="B116" s="3"/>
      <c r="C116" s="3"/>
      <c r="D116" s="482" t="s">
        <v>134</v>
      </c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83">
        <f>S114/SUM(T116:Z116)</f>
        <v>9.1169793601651197</v>
      </c>
      <c r="T116" s="508">
        <f>(57)*1.7</f>
        <v>96.899999999999991</v>
      </c>
      <c r="U116" s="483"/>
      <c r="V116" s="483"/>
      <c r="W116" s="483"/>
      <c r="X116" s="54">
        <f>(0)*1</f>
        <v>0</v>
      </c>
      <c r="Y116" s="54">
        <f>(0)*0.58</f>
        <v>0</v>
      </c>
      <c r="Z116" s="55">
        <f>(0)*1</f>
        <v>0</v>
      </c>
      <c r="AA116" s="393" t="s">
        <v>410</v>
      </c>
    </row>
    <row r="117" spans="1:27" ht="13.5" customHeight="1" x14ac:dyDescent="0.2">
      <c r="A117" s="3"/>
      <c r="B117" s="3"/>
      <c r="C117" s="3"/>
      <c r="D117" s="484" t="s">
        <v>135</v>
      </c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56">
        <f>S116/S226</f>
        <v>0.71248626493145562</v>
      </c>
      <c r="T117" s="72"/>
      <c r="U117" s="72"/>
      <c r="V117" s="72"/>
      <c r="W117" s="72"/>
      <c r="X117" s="110"/>
      <c r="Y117" s="110"/>
      <c r="Z117" s="110"/>
    </row>
    <row r="118" spans="1:27" ht="13.5" customHeight="1" x14ac:dyDescent="0.2">
      <c r="A118" s="3"/>
      <c r="B118" s="3"/>
      <c r="C118" s="3"/>
      <c r="D118" s="486" t="s">
        <v>136</v>
      </c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57">
        <f>S115+S117</f>
        <v>1.8324862649314555</v>
      </c>
      <c r="T118" s="72"/>
      <c r="U118" s="72"/>
      <c r="V118" s="72"/>
      <c r="W118" s="72"/>
      <c r="X118" s="110"/>
      <c r="Y118" s="110"/>
      <c r="Z118" s="110"/>
    </row>
    <row r="119" spans="1:27" ht="13.5" customHeight="1" x14ac:dyDescent="0.2">
      <c r="A119" s="3"/>
      <c r="B119" s="3"/>
      <c r="C119" s="3"/>
      <c r="D119" s="471" t="s">
        <v>137</v>
      </c>
      <c r="E119" s="471"/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  <c r="R119" s="471"/>
      <c r="S119" s="58">
        <f>S114/S223</f>
        <v>7.3747149111244636E-2</v>
      </c>
      <c r="T119" s="72"/>
      <c r="U119" s="72"/>
      <c r="V119" s="72"/>
      <c r="W119" s="72"/>
      <c r="X119" s="110"/>
      <c r="Y119" s="110"/>
      <c r="Z119" s="110"/>
    </row>
    <row r="120" spans="1:27" ht="13.5" customHeight="1" x14ac:dyDescent="0.2">
      <c r="A120" s="3"/>
      <c r="B120" s="3"/>
      <c r="C120" s="3"/>
      <c r="D120" s="472" t="s">
        <v>138</v>
      </c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58">
        <f>S118/S227</f>
        <v>0.1044178380512804</v>
      </c>
      <c r="T120" s="72"/>
      <c r="U120" s="72"/>
      <c r="V120" s="72"/>
      <c r="W120" s="72"/>
      <c r="X120" s="110"/>
      <c r="Y120" s="110"/>
      <c r="Z120" s="110"/>
    </row>
    <row r="121" spans="1:27" ht="13.5" customHeight="1" x14ac:dyDescent="0.2">
      <c r="A121" s="3"/>
      <c r="B121" s="3"/>
      <c r="C121" s="3"/>
      <c r="D121" s="460" t="s">
        <v>139</v>
      </c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62">
        <f>((S119*0.9)+(S120*0.1))</f>
        <v>7.6814218005248222E-2</v>
      </c>
      <c r="T121" s="72"/>
      <c r="U121" s="72"/>
      <c r="V121" s="72"/>
      <c r="W121" s="72"/>
      <c r="X121" s="110"/>
      <c r="Y121" s="110"/>
      <c r="Z121" s="110"/>
    </row>
    <row r="122" spans="1:27" ht="17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5"/>
      <c r="Z122" s="6"/>
    </row>
    <row r="123" spans="1:27" ht="0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5"/>
      <c r="Z123" s="6"/>
    </row>
    <row r="124" spans="1:27" ht="14.1" customHeight="1" x14ac:dyDescent="0.2">
      <c r="A124" s="3"/>
      <c r="B124" s="3"/>
      <c r="C124" s="504" t="s">
        <v>140</v>
      </c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3"/>
      <c r="V124" s="3"/>
      <c r="W124" s="3"/>
      <c r="X124" s="510"/>
      <c r="Y124" s="510"/>
      <c r="Z124" s="510"/>
    </row>
    <row r="125" spans="1:27" ht="0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510"/>
      <c r="Y125" s="510"/>
      <c r="Z125" s="510"/>
    </row>
    <row r="126" spans="1:27" ht="12" customHeight="1" x14ac:dyDescent="0.2">
      <c r="A126" s="3"/>
      <c r="B126" s="3"/>
      <c r="C126" s="3"/>
      <c r="D126" s="473" t="s">
        <v>141</v>
      </c>
      <c r="E126" s="473"/>
      <c r="F126" s="473"/>
      <c r="G126" s="473"/>
      <c r="H126" s="473"/>
      <c r="I126" s="473"/>
      <c r="J126" s="473"/>
      <c r="K126" s="473"/>
      <c r="L126" s="473"/>
      <c r="M126" s="473"/>
      <c r="N126" s="473"/>
      <c r="O126" s="473"/>
      <c r="P126" s="473"/>
      <c r="Q126" s="473"/>
      <c r="R126" s="473"/>
      <c r="S126" s="473"/>
      <c r="T126" s="473"/>
      <c r="U126" s="473"/>
      <c r="V126" s="473"/>
      <c r="W126" s="3"/>
      <c r="X126" s="510"/>
      <c r="Y126" s="510"/>
      <c r="Z126" s="510"/>
    </row>
    <row r="127" spans="1:27" ht="3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510"/>
      <c r="Y127" s="510"/>
      <c r="Z127" s="510"/>
    </row>
    <row r="128" spans="1:27" ht="27" customHeight="1" x14ac:dyDescent="0.2">
      <c r="A128" s="3"/>
      <c r="B128" s="3"/>
      <c r="C128" s="3"/>
      <c r="D128" s="111" t="s">
        <v>4</v>
      </c>
      <c r="E128" s="3"/>
      <c r="F128" s="112" t="s">
        <v>5</v>
      </c>
      <c r="G128" s="3"/>
      <c r="H128" s="44" t="s">
        <v>6</v>
      </c>
      <c r="I128" s="3"/>
      <c r="J128" s="44" t="s">
        <v>7</v>
      </c>
      <c r="K128" s="3"/>
      <c r="L128" s="44" t="s">
        <v>8</v>
      </c>
      <c r="M128" s="3"/>
      <c r="N128" s="21" t="s">
        <v>9</v>
      </c>
      <c r="O128" s="21" t="s">
        <v>10</v>
      </c>
      <c r="P128" s="21" t="s">
        <v>11</v>
      </c>
      <c r="Q128" s="3"/>
      <c r="R128" s="113" t="s">
        <v>12</v>
      </c>
      <c r="S128" s="96" t="s">
        <v>13</v>
      </c>
      <c r="T128" s="511" t="s">
        <v>14</v>
      </c>
      <c r="U128" s="511"/>
      <c r="V128" s="511"/>
      <c r="W128" s="511"/>
      <c r="X128" s="97" t="s">
        <v>15</v>
      </c>
      <c r="Y128" s="114" t="s">
        <v>16</v>
      </c>
      <c r="Z128" s="115" t="s">
        <v>17</v>
      </c>
    </row>
    <row r="129" spans="1:27" ht="13.5" customHeight="1" x14ac:dyDescent="0.2">
      <c r="A129" s="3"/>
      <c r="B129" s="3"/>
      <c r="C129" s="3"/>
      <c r="D129" s="116" t="s">
        <v>142</v>
      </c>
      <c r="E129" s="3"/>
      <c r="F129" s="28" t="s">
        <v>143</v>
      </c>
      <c r="G129" s="3"/>
      <c r="H129" s="29" t="s">
        <v>29</v>
      </c>
      <c r="I129" s="3"/>
      <c r="J129" s="29">
        <v>45</v>
      </c>
      <c r="K129" s="3"/>
      <c r="L129" s="29">
        <v>40</v>
      </c>
      <c r="M129" s="3"/>
      <c r="N129" s="64">
        <v>40</v>
      </c>
      <c r="O129" s="64">
        <v>78</v>
      </c>
      <c r="P129" s="29">
        <f>MEDIAN(N129,O129)</f>
        <v>59</v>
      </c>
      <c r="Q129" s="3">
        <v>0</v>
      </c>
      <c r="R129" s="117">
        <v>0</v>
      </c>
      <c r="S129" s="102">
        <f>((P129)*2*1*1.1)</f>
        <v>129.80000000000001</v>
      </c>
      <c r="T129" s="476">
        <f>(S129/S$132)</f>
        <v>0.39372706039372707</v>
      </c>
      <c r="U129" s="476"/>
      <c r="V129" s="476"/>
      <c r="W129" s="476"/>
      <c r="X129" s="118">
        <v>2</v>
      </c>
      <c r="Y129" s="119" t="s">
        <v>73</v>
      </c>
      <c r="Z129" s="120">
        <f>(X129/S224)</f>
        <v>0.6588235294117647</v>
      </c>
    </row>
    <row r="130" spans="1:27" ht="15.75" customHeight="1" x14ac:dyDescent="0.2">
      <c r="A130" s="3"/>
      <c r="B130" s="3"/>
      <c r="C130" s="3"/>
      <c r="D130" s="116" t="s">
        <v>144</v>
      </c>
      <c r="E130" s="3"/>
      <c r="F130" s="28" t="s">
        <v>145</v>
      </c>
      <c r="G130" s="3"/>
      <c r="H130" s="29" t="s">
        <v>22</v>
      </c>
      <c r="I130" s="3"/>
      <c r="J130" s="29">
        <v>45</v>
      </c>
      <c r="K130" s="3"/>
      <c r="L130" s="29">
        <f>6+46</f>
        <v>52</v>
      </c>
      <c r="M130" s="379" t="s">
        <v>396</v>
      </c>
      <c r="N130" s="64">
        <v>144</v>
      </c>
      <c r="O130" s="64">
        <v>172</v>
      </c>
      <c r="P130" s="29">
        <f>MEDIAN(N130,O130)</f>
        <v>158</v>
      </c>
      <c r="Q130" s="3"/>
      <c r="R130" s="117">
        <f>14+8</f>
        <v>22</v>
      </c>
      <c r="S130" s="109">
        <f>((P130)*1*1.15*1.1)</f>
        <v>199.87</v>
      </c>
      <c r="T130" s="465">
        <f>(S130/S$132)</f>
        <v>0.60627293960627293</v>
      </c>
      <c r="U130" s="465"/>
      <c r="V130" s="465"/>
      <c r="W130" s="465"/>
      <c r="X130" s="48">
        <v>4</v>
      </c>
      <c r="Y130" s="71" t="s">
        <v>73</v>
      </c>
      <c r="Z130" s="55">
        <f>(X130/S224)</f>
        <v>1.3176470588235294</v>
      </c>
    </row>
    <row r="131" spans="1:27" ht="15.75" customHeight="1" x14ac:dyDescent="0.2">
      <c r="A131" s="3"/>
      <c r="B131" s="3"/>
      <c r="C131" s="3"/>
      <c r="D131" s="466" t="s">
        <v>146</v>
      </c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121">
        <f>SUM(S129:S130)</f>
        <v>329.67</v>
      </c>
      <c r="T131" s="509">
        <f>(S131/S$132)</f>
        <v>1</v>
      </c>
      <c r="U131" s="509"/>
      <c r="V131" s="509"/>
      <c r="W131" s="509"/>
      <c r="X131" s="122"/>
      <c r="Y131" s="123"/>
      <c r="Z131" s="124"/>
    </row>
    <row r="132" spans="1:27" ht="13.5" customHeight="1" x14ac:dyDescent="0.2">
      <c r="A132" s="3"/>
      <c r="B132" s="3"/>
      <c r="C132" s="3"/>
      <c r="D132" s="478" t="s">
        <v>147</v>
      </c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50">
        <f>SUM(S129:S130)</f>
        <v>329.67</v>
      </c>
      <c r="T132" s="479">
        <f>(S132/TAEj!B20)</f>
        <v>2.7520094168190946E-2</v>
      </c>
      <c r="U132" s="479"/>
      <c r="V132" s="479"/>
      <c r="W132" s="479"/>
      <c r="X132" s="125"/>
      <c r="Y132" s="126"/>
      <c r="Z132" s="127"/>
    </row>
    <row r="133" spans="1:27" ht="13.5" customHeight="1" x14ac:dyDescent="0.2">
      <c r="A133" s="3"/>
      <c r="B133" s="3"/>
      <c r="C133" s="3"/>
      <c r="D133" s="480" t="s">
        <v>148</v>
      </c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51">
        <f>SUM(Z129:Z130)/2</f>
        <v>0.9882352941176471</v>
      </c>
      <c r="T133" s="481" t="s">
        <v>33</v>
      </c>
      <c r="U133" s="481"/>
      <c r="V133" s="481"/>
      <c r="W133" s="481"/>
      <c r="X133" s="52" t="s">
        <v>34</v>
      </c>
      <c r="Y133" s="52" t="s">
        <v>35</v>
      </c>
      <c r="Z133" s="53" t="s">
        <v>36</v>
      </c>
    </row>
    <row r="134" spans="1:27" ht="13.5" customHeight="1" x14ac:dyDescent="0.2">
      <c r="A134" s="3"/>
      <c r="B134" s="3"/>
      <c r="C134" s="3"/>
      <c r="D134" s="482" t="s">
        <v>149</v>
      </c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83">
        <f>S132/SUM(T134:Z134)</f>
        <v>8.8147058823529427</v>
      </c>
      <c r="T134" s="508">
        <f>(22)*1.7</f>
        <v>37.4</v>
      </c>
      <c r="U134" s="483"/>
      <c r="V134" s="483"/>
      <c r="W134" s="483"/>
      <c r="X134" s="54">
        <f>(0)*1</f>
        <v>0</v>
      </c>
      <c r="Y134" s="54">
        <f>(0)*0.58</f>
        <v>0</v>
      </c>
      <c r="Z134" s="55">
        <f>(0)*1</f>
        <v>0</v>
      </c>
      <c r="AA134" s="393" t="s">
        <v>410</v>
      </c>
    </row>
    <row r="135" spans="1:27" ht="13.5" customHeight="1" x14ac:dyDescent="0.2">
      <c r="A135" s="3"/>
      <c r="B135" s="3"/>
      <c r="C135" s="3"/>
      <c r="D135" s="484" t="s">
        <v>150</v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56">
        <f>S134/S226</f>
        <v>0.68886378069778087</v>
      </c>
      <c r="T135" s="485"/>
      <c r="U135" s="485"/>
      <c r="V135" s="485"/>
      <c r="W135" s="485"/>
      <c r="X135" s="485"/>
      <c r="Y135" s="485"/>
      <c r="Z135" s="485"/>
    </row>
    <row r="136" spans="1:27" ht="13.5" customHeight="1" x14ac:dyDescent="0.2">
      <c r="A136" s="3"/>
      <c r="B136" s="3"/>
      <c r="C136" s="3"/>
      <c r="D136" s="486" t="s">
        <v>151</v>
      </c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57">
        <f>S133+S135</f>
        <v>1.677099074815428</v>
      </c>
      <c r="T136" s="485"/>
      <c r="U136" s="485"/>
      <c r="V136" s="485"/>
      <c r="W136" s="485"/>
      <c r="X136" s="485"/>
      <c r="Y136" s="485"/>
      <c r="Z136" s="485"/>
    </row>
    <row r="137" spans="1:27" ht="13.5" customHeight="1" x14ac:dyDescent="0.2">
      <c r="A137" s="3"/>
      <c r="B137" s="3"/>
      <c r="C137" s="3"/>
      <c r="D137" s="471" t="s">
        <v>152</v>
      </c>
      <c r="E137" s="471"/>
      <c r="F137" s="471"/>
      <c r="G137" s="471"/>
      <c r="H137" s="471"/>
      <c r="I137" s="471"/>
      <c r="J137" s="471"/>
      <c r="K137" s="471"/>
      <c r="L137" s="471"/>
      <c r="M137" s="471"/>
      <c r="N137" s="471"/>
      <c r="O137" s="471"/>
      <c r="P137" s="471"/>
      <c r="Q137" s="471"/>
      <c r="R137" s="471"/>
      <c r="S137" s="58">
        <f>S132/S223</f>
        <v>2.7520094168190946E-2</v>
      </c>
      <c r="T137" s="72"/>
      <c r="U137" s="72"/>
      <c r="V137" s="72"/>
      <c r="W137" s="72"/>
      <c r="X137" s="72"/>
      <c r="Y137" s="72"/>
      <c r="Z137" s="72"/>
    </row>
    <row r="138" spans="1:27" ht="13.5" customHeight="1" x14ac:dyDescent="0.2">
      <c r="A138" s="3"/>
      <c r="B138" s="3"/>
      <c r="C138" s="3"/>
      <c r="D138" s="472" t="s">
        <v>153</v>
      </c>
      <c r="E138" s="472"/>
      <c r="F138" s="472"/>
      <c r="G138" s="472"/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  <c r="R138" s="472"/>
      <c r="S138" s="58">
        <f>S136/S227</f>
        <v>9.5563641016747206E-2</v>
      </c>
      <c r="T138" s="72"/>
      <c r="U138" s="72"/>
      <c r="V138" s="72"/>
      <c r="W138" s="72"/>
      <c r="X138" s="72"/>
      <c r="Y138" s="72"/>
      <c r="Z138" s="72"/>
    </row>
    <row r="139" spans="1:27" ht="13.5" customHeight="1" x14ac:dyDescent="0.2">
      <c r="A139" s="3"/>
      <c r="B139" s="3"/>
      <c r="C139" s="3"/>
      <c r="D139" s="460" t="s">
        <v>154</v>
      </c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62">
        <f>((S137*0.9)+(S138*0.1))</f>
        <v>3.4324448853046571E-2</v>
      </c>
      <c r="T139" s="72"/>
      <c r="U139" s="72"/>
      <c r="V139" s="72"/>
      <c r="W139" s="72"/>
      <c r="X139" s="72"/>
      <c r="Y139" s="72"/>
      <c r="Z139" s="72"/>
    </row>
    <row r="140" spans="1:27" ht="18.75" customHeight="1" x14ac:dyDescent="0.2">
      <c r="A140" s="3"/>
      <c r="B140" s="3"/>
      <c r="C140" s="3"/>
      <c r="D140" s="504" t="s">
        <v>155</v>
      </c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3"/>
      <c r="W140" s="3"/>
      <c r="X140" s="505"/>
      <c r="Y140" s="505"/>
      <c r="Z140" s="505"/>
    </row>
    <row r="141" spans="1:27" ht="15.75" customHeight="1" x14ac:dyDescent="0.2">
      <c r="A141" s="3"/>
      <c r="B141" s="3"/>
      <c r="C141" s="3"/>
      <c r="D141" s="473" t="s">
        <v>156</v>
      </c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  <c r="O141" s="473"/>
      <c r="P141" s="473"/>
      <c r="Q141" s="473"/>
      <c r="R141" s="473"/>
      <c r="S141" s="473"/>
      <c r="T141" s="473"/>
      <c r="U141" s="473"/>
      <c r="V141" s="473"/>
      <c r="W141" s="473"/>
      <c r="X141" s="505"/>
      <c r="Y141" s="505"/>
      <c r="Z141" s="505"/>
    </row>
    <row r="142" spans="1:27" ht="15.75" customHeight="1" x14ac:dyDescent="0.2">
      <c r="A142" s="3"/>
      <c r="B142" s="3"/>
      <c r="C142" s="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505"/>
      <c r="Y142" s="505"/>
      <c r="Z142" s="505"/>
    </row>
    <row r="143" spans="1:27" ht="24.75" customHeight="1" x14ac:dyDescent="0.2">
      <c r="A143" s="3"/>
      <c r="B143" s="3"/>
      <c r="C143" s="3"/>
      <c r="D143" s="18" t="s">
        <v>4</v>
      </c>
      <c r="E143" s="19"/>
      <c r="F143" s="20" t="s">
        <v>5</v>
      </c>
      <c r="G143" s="19"/>
      <c r="H143" s="21" t="s">
        <v>6</v>
      </c>
      <c r="I143" s="19"/>
      <c r="J143" s="21" t="s">
        <v>7</v>
      </c>
      <c r="K143" s="19"/>
      <c r="L143" s="21" t="s">
        <v>8</v>
      </c>
      <c r="M143" s="19"/>
      <c r="N143" s="21" t="s">
        <v>9</v>
      </c>
      <c r="O143" s="21" t="s">
        <v>10</v>
      </c>
      <c r="P143" s="21" t="s">
        <v>11</v>
      </c>
      <c r="Q143" s="19"/>
      <c r="R143" s="63" t="s">
        <v>12</v>
      </c>
      <c r="S143" s="85" t="s">
        <v>13</v>
      </c>
      <c r="T143" s="500" t="s">
        <v>14</v>
      </c>
      <c r="U143" s="500"/>
      <c r="V143" s="500"/>
      <c r="W143" s="500"/>
      <c r="X143" s="97" t="s">
        <v>15</v>
      </c>
      <c r="Y143" s="114" t="s">
        <v>16</v>
      </c>
      <c r="Z143" s="115" t="s">
        <v>17</v>
      </c>
    </row>
    <row r="144" spans="1:27" ht="24.75" customHeight="1" x14ac:dyDescent="0.2">
      <c r="A144" s="3"/>
      <c r="B144" s="3"/>
      <c r="C144" s="3"/>
      <c r="D144" s="66">
        <v>5001242</v>
      </c>
      <c r="E144" s="67"/>
      <c r="F144" s="68" t="s">
        <v>157</v>
      </c>
      <c r="G144" s="67"/>
      <c r="H144" s="69" t="s">
        <v>29</v>
      </c>
      <c r="I144" s="67"/>
      <c r="J144" s="69">
        <v>0</v>
      </c>
      <c r="K144" s="67"/>
      <c r="L144" s="69">
        <v>33</v>
      </c>
      <c r="M144" s="67"/>
      <c r="N144" s="64">
        <v>135</v>
      </c>
      <c r="O144" s="64">
        <v>142</v>
      </c>
      <c r="P144" s="69">
        <f>MEDIAN(N144,O144)</f>
        <v>138.5</v>
      </c>
      <c r="Q144" s="67"/>
      <c r="R144" s="70">
        <v>21</v>
      </c>
      <c r="S144" s="128">
        <f>((P144)*2*1*1.1)</f>
        <v>304.70000000000005</v>
      </c>
      <c r="T144" s="506">
        <f>(S144/S144)</f>
        <v>1</v>
      </c>
      <c r="U144" s="506"/>
      <c r="V144" s="506"/>
      <c r="W144" s="506"/>
      <c r="X144" s="129">
        <v>3</v>
      </c>
      <c r="Y144" s="130">
        <v>0</v>
      </c>
      <c r="Z144" s="131">
        <f>X144/S224</f>
        <v>0.9882352941176471</v>
      </c>
      <c r="AA144" s="132"/>
    </row>
    <row r="145" spans="1:27" ht="15.75" customHeight="1" x14ac:dyDescent="0.2">
      <c r="A145" s="3"/>
      <c r="B145" s="3"/>
      <c r="C145" s="3"/>
      <c r="D145" s="466" t="s">
        <v>158</v>
      </c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121">
        <f>SUM(S143:S144)</f>
        <v>304.70000000000005</v>
      </c>
      <c r="T145" s="479">
        <f>(S144/S144)</f>
        <v>1</v>
      </c>
      <c r="U145" s="479"/>
      <c r="V145" s="479"/>
      <c r="W145" s="479"/>
      <c r="X145" s="122"/>
      <c r="Y145" s="123"/>
      <c r="Z145" s="124"/>
      <c r="AA145" s="132"/>
    </row>
    <row r="146" spans="1:27" ht="15" customHeight="1" x14ac:dyDescent="0.2">
      <c r="A146" s="3"/>
      <c r="B146" s="3"/>
      <c r="C146" s="3"/>
      <c r="D146" s="478" t="s">
        <v>159</v>
      </c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50">
        <f>SUM(S143:S144)</f>
        <v>304.70000000000005</v>
      </c>
      <c r="T146" s="479">
        <f>(S146/TAEj!B20)</f>
        <v>2.5435655937900876E-2</v>
      </c>
      <c r="U146" s="479"/>
      <c r="V146" s="479"/>
      <c r="W146" s="479"/>
      <c r="X146" s="125"/>
      <c r="Y146" s="126"/>
      <c r="Z146" s="127"/>
      <c r="AA146" s="132"/>
    </row>
    <row r="147" spans="1:27" ht="17.25" customHeight="1" x14ac:dyDescent="0.2">
      <c r="A147" s="3"/>
      <c r="B147" s="3"/>
      <c r="C147" s="3"/>
      <c r="D147" s="480" t="s">
        <v>160</v>
      </c>
      <c r="E147" s="480"/>
      <c r="F147" s="480"/>
      <c r="G147" s="480"/>
      <c r="H147" s="480"/>
      <c r="I147" s="480"/>
      <c r="J147" s="480"/>
      <c r="K147" s="480"/>
      <c r="L147" s="480"/>
      <c r="M147" s="480"/>
      <c r="N147" s="480"/>
      <c r="O147" s="480"/>
      <c r="P147" s="480"/>
      <c r="Q147" s="480"/>
      <c r="R147" s="480"/>
      <c r="S147" s="133">
        <f>SUM(Z144:Z144)/1</f>
        <v>0.9882352941176471</v>
      </c>
      <c r="T147" s="481" t="s">
        <v>33</v>
      </c>
      <c r="U147" s="481"/>
      <c r="V147" s="481"/>
      <c r="W147" s="481"/>
      <c r="X147" s="52" t="s">
        <v>34</v>
      </c>
      <c r="Y147" s="52" t="s">
        <v>35</v>
      </c>
      <c r="Z147" s="53" t="s">
        <v>36</v>
      </c>
      <c r="AA147" s="132"/>
    </row>
    <row r="148" spans="1:27" ht="17.25" customHeight="1" x14ac:dyDescent="0.2">
      <c r="A148" s="3"/>
      <c r="B148" s="3"/>
      <c r="C148" s="3"/>
      <c r="D148" s="507" t="s">
        <v>161</v>
      </c>
      <c r="E148" s="507"/>
      <c r="F148" s="507"/>
      <c r="G148" s="507"/>
      <c r="H148" s="507"/>
      <c r="I148" s="507"/>
      <c r="J148" s="507"/>
      <c r="K148" s="507"/>
      <c r="L148" s="507"/>
      <c r="M148" s="507"/>
      <c r="N148" s="507"/>
      <c r="O148" s="507"/>
      <c r="P148" s="507"/>
      <c r="Q148" s="507"/>
      <c r="R148" s="507"/>
      <c r="S148" s="396">
        <f>S146/SUM(T148:Z148)</f>
        <v>14.238317757009348</v>
      </c>
      <c r="T148" s="508">
        <f>(12)*1.7</f>
        <v>20.399999999999999</v>
      </c>
      <c r="U148" s="483"/>
      <c r="V148" s="483"/>
      <c r="W148" s="483"/>
      <c r="X148" s="54">
        <f>(1)*1</f>
        <v>1</v>
      </c>
      <c r="Y148" s="54">
        <f>(0)*0.58</f>
        <v>0</v>
      </c>
      <c r="Z148" s="55">
        <f>(0)*1</f>
        <v>0</v>
      </c>
      <c r="AA148" s="393" t="s">
        <v>410</v>
      </c>
    </row>
    <row r="149" spans="1:27" ht="17.25" customHeight="1" x14ac:dyDescent="0.2">
      <c r="A149" s="3"/>
      <c r="B149" s="3"/>
      <c r="C149" s="3"/>
      <c r="D149" s="484" t="s">
        <v>162</v>
      </c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57">
        <f>S148/S226</f>
        <v>1.1127156744396842</v>
      </c>
      <c r="T149" s="503"/>
      <c r="U149" s="503"/>
      <c r="V149" s="503"/>
      <c r="W149" s="503"/>
      <c r="X149" s="503"/>
      <c r="Y149" s="503"/>
      <c r="Z149" s="503"/>
      <c r="AA149" s="132"/>
    </row>
    <row r="150" spans="1:27" ht="17.25" customHeight="1" x14ac:dyDescent="0.2">
      <c r="A150" s="3"/>
      <c r="B150" s="3"/>
      <c r="C150" s="3"/>
      <c r="D150" s="486" t="s">
        <v>163</v>
      </c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  <c r="P150" s="486"/>
      <c r="Q150" s="486"/>
      <c r="R150" s="486"/>
      <c r="S150" s="57">
        <f>S147+S149</f>
        <v>2.1009509685573313</v>
      </c>
      <c r="T150" s="503"/>
      <c r="U150" s="503"/>
      <c r="V150" s="503"/>
      <c r="W150" s="503"/>
      <c r="X150" s="503"/>
      <c r="Y150" s="503"/>
      <c r="Z150" s="503"/>
      <c r="AA150" s="132"/>
    </row>
    <row r="151" spans="1:27" ht="17.25" customHeight="1" x14ac:dyDescent="0.2">
      <c r="A151" s="3"/>
      <c r="B151" s="3"/>
      <c r="C151" s="3"/>
      <c r="D151" s="471" t="s">
        <v>164</v>
      </c>
      <c r="E151" s="471"/>
      <c r="F151" s="471"/>
      <c r="G151" s="471"/>
      <c r="H151" s="471"/>
      <c r="I151" s="471"/>
      <c r="J151" s="471"/>
      <c r="K151" s="471"/>
      <c r="L151" s="471"/>
      <c r="M151" s="471"/>
      <c r="N151" s="471"/>
      <c r="O151" s="471"/>
      <c r="P151" s="471"/>
      <c r="Q151" s="471"/>
      <c r="R151" s="471"/>
      <c r="S151" s="58">
        <f>S146/S223</f>
        <v>2.5435655937900876E-2</v>
      </c>
      <c r="T151" s="503"/>
      <c r="U151" s="503"/>
      <c r="V151" s="503"/>
      <c r="W151" s="503"/>
      <c r="X151" s="503"/>
      <c r="Y151" s="503"/>
      <c r="Z151" s="503"/>
      <c r="AA151" s="132"/>
    </row>
    <row r="152" spans="1:27" ht="17.25" customHeight="1" x14ac:dyDescent="0.2">
      <c r="A152" s="3"/>
      <c r="B152" s="3"/>
      <c r="C152" s="3"/>
      <c r="D152" s="472" t="s">
        <v>165</v>
      </c>
      <c r="E152" s="472"/>
      <c r="F152" s="472"/>
      <c r="G152" s="472"/>
      <c r="H152" s="472"/>
      <c r="I152" s="472"/>
      <c r="J152" s="472"/>
      <c r="K152" s="472"/>
      <c r="L152" s="472"/>
      <c r="M152" s="472"/>
      <c r="N152" s="472"/>
      <c r="O152" s="472"/>
      <c r="P152" s="472"/>
      <c r="Q152" s="472"/>
      <c r="R152" s="472"/>
      <c r="S152" s="58">
        <f>S150/S227</f>
        <v>0.11971536277610569</v>
      </c>
      <c r="T152" s="503"/>
      <c r="U152" s="503"/>
      <c r="V152" s="503"/>
      <c r="W152" s="503"/>
      <c r="X152" s="503"/>
      <c r="Y152" s="503"/>
      <c r="Z152" s="503"/>
      <c r="AA152" s="132"/>
    </row>
    <row r="153" spans="1:27" ht="17.25" customHeight="1" x14ac:dyDescent="0.2">
      <c r="A153" s="3"/>
      <c r="B153" s="3"/>
      <c r="C153" s="3"/>
      <c r="D153" s="460" t="s">
        <v>166</v>
      </c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62">
        <f>((S151*0.9)+(S152*0.1))</f>
        <v>3.4863626621721357E-2</v>
      </c>
      <c r="T153" s="503"/>
      <c r="U153" s="503"/>
      <c r="V153" s="503"/>
      <c r="W153" s="503"/>
      <c r="X153" s="503"/>
      <c r="Y153" s="503"/>
      <c r="Z153" s="503"/>
      <c r="AA153" s="132"/>
    </row>
    <row r="154" spans="1:27" ht="18.75" customHeight="1" x14ac:dyDescent="0.2">
      <c r="A154" s="3"/>
      <c r="B154" s="3"/>
      <c r="C154" s="3"/>
      <c r="D154" s="134"/>
      <c r="E154" s="3"/>
      <c r="F154" s="134"/>
      <c r="G154" s="3"/>
      <c r="H154" s="100"/>
      <c r="I154" s="3"/>
      <c r="J154" s="100"/>
      <c r="K154" s="3"/>
      <c r="L154" s="100"/>
      <c r="M154" s="3"/>
      <c r="N154" s="3"/>
      <c r="O154" s="3"/>
      <c r="P154" s="100"/>
      <c r="Q154" s="3"/>
      <c r="R154" s="100"/>
      <c r="S154" s="3"/>
      <c r="T154" s="503"/>
      <c r="U154" s="503"/>
      <c r="V154" s="503"/>
      <c r="W154" s="503"/>
      <c r="X154" s="503"/>
      <c r="Y154" s="503"/>
      <c r="Z154" s="503"/>
    </row>
    <row r="155" spans="1:27" ht="14.1" customHeight="1" x14ac:dyDescent="0.2">
      <c r="A155" s="3"/>
      <c r="B155" s="3"/>
      <c r="C155" s="504" t="s">
        <v>167</v>
      </c>
      <c r="D155" s="504"/>
      <c r="E155" s="504"/>
      <c r="F155" s="504"/>
      <c r="G155" s="504"/>
      <c r="H155" s="504"/>
      <c r="I155" s="504"/>
      <c r="J155" s="504"/>
      <c r="K155" s="504"/>
      <c r="L155" s="504"/>
      <c r="M155" s="504"/>
      <c r="N155" s="504"/>
      <c r="O155" s="504"/>
      <c r="P155" s="504"/>
      <c r="Q155" s="504"/>
      <c r="R155" s="504"/>
      <c r="S155" s="504"/>
      <c r="T155" s="504"/>
      <c r="U155" s="3"/>
      <c r="V155" s="3"/>
      <c r="W155" s="3"/>
      <c r="X155" s="505"/>
      <c r="Y155" s="505"/>
      <c r="Z155" s="505"/>
    </row>
    <row r="156" spans="1:27" ht="0.9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505"/>
      <c r="Y156" s="505"/>
      <c r="Z156" s="505"/>
    </row>
    <row r="157" spans="1:27" ht="12" customHeight="1" x14ac:dyDescent="0.2">
      <c r="A157" s="3"/>
      <c r="B157" s="3"/>
      <c r="C157" s="3"/>
      <c r="D157" s="473" t="s">
        <v>168</v>
      </c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  <c r="O157" s="473"/>
      <c r="P157" s="473"/>
      <c r="Q157" s="473"/>
      <c r="R157" s="473"/>
      <c r="S157" s="473"/>
      <c r="T157" s="473"/>
      <c r="U157" s="473"/>
      <c r="V157" s="473"/>
      <c r="W157" s="3"/>
      <c r="X157" s="505"/>
      <c r="Y157" s="505"/>
      <c r="Z157" s="505"/>
    </row>
    <row r="158" spans="1:27" ht="3.9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505"/>
      <c r="Y158" s="505"/>
      <c r="Z158" s="505"/>
    </row>
    <row r="159" spans="1:27" ht="27" customHeight="1" thickBot="1" x14ac:dyDescent="0.25">
      <c r="A159" s="3"/>
      <c r="B159" s="3"/>
      <c r="C159" s="3"/>
      <c r="D159" s="18" t="s">
        <v>4</v>
      </c>
      <c r="E159" s="19"/>
      <c r="F159" s="20" t="s">
        <v>5</v>
      </c>
      <c r="G159" s="19"/>
      <c r="H159" s="21" t="s">
        <v>6</v>
      </c>
      <c r="I159" s="19"/>
      <c r="J159" s="21" t="s">
        <v>7</v>
      </c>
      <c r="K159" s="19"/>
      <c r="L159" s="21" t="s">
        <v>8</v>
      </c>
      <c r="M159" s="19"/>
      <c r="N159" s="21" t="s">
        <v>9</v>
      </c>
      <c r="O159" s="21" t="s">
        <v>10</v>
      </c>
      <c r="P159" s="21" t="s">
        <v>11</v>
      </c>
      <c r="Q159" s="19"/>
      <c r="R159" s="63" t="s">
        <v>12</v>
      </c>
      <c r="S159" s="85" t="s">
        <v>13</v>
      </c>
      <c r="T159" s="500" t="s">
        <v>14</v>
      </c>
      <c r="U159" s="500"/>
      <c r="V159" s="500"/>
      <c r="W159" s="500"/>
      <c r="X159" s="135" t="s">
        <v>15</v>
      </c>
      <c r="Y159" s="74" t="s">
        <v>16</v>
      </c>
      <c r="Z159" s="136" t="s">
        <v>17</v>
      </c>
    </row>
    <row r="160" spans="1:27" ht="20.25" customHeight="1" thickBot="1" x14ac:dyDescent="0.25">
      <c r="A160" s="3"/>
      <c r="B160" s="3"/>
      <c r="C160" s="3"/>
      <c r="D160" s="501" t="s">
        <v>169</v>
      </c>
      <c r="E160" s="501"/>
      <c r="F160" s="501"/>
      <c r="G160" s="137"/>
      <c r="H160" s="138"/>
      <c r="I160" s="137"/>
      <c r="J160" s="138"/>
      <c r="K160" s="137"/>
      <c r="L160" s="138"/>
      <c r="M160" s="137"/>
      <c r="N160" s="137"/>
      <c r="O160" s="137"/>
      <c r="P160" s="138"/>
      <c r="Q160" s="137"/>
      <c r="R160" s="138"/>
      <c r="S160" s="139"/>
      <c r="T160" s="139"/>
      <c r="U160" s="139"/>
      <c r="V160" s="139"/>
      <c r="W160" s="139"/>
      <c r="X160" s="140"/>
      <c r="Y160" s="141"/>
      <c r="Z160" s="142"/>
      <c r="AA160" t="s">
        <v>413</v>
      </c>
    </row>
    <row r="161" spans="1:27" ht="11.25" customHeight="1" x14ac:dyDescent="0.2">
      <c r="A161" s="3"/>
      <c r="B161" s="3"/>
      <c r="C161" s="3"/>
      <c r="D161" s="143" t="s">
        <v>170</v>
      </c>
      <c r="E161" s="3"/>
      <c r="F161" s="144" t="s">
        <v>119</v>
      </c>
      <c r="G161" s="3"/>
      <c r="H161" s="145" t="s">
        <v>22</v>
      </c>
      <c r="I161" s="3"/>
      <c r="J161" s="145">
        <v>50</v>
      </c>
      <c r="K161" s="3"/>
      <c r="L161" s="145">
        <f>47+1</f>
        <v>48</v>
      </c>
      <c r="M161" s="3"/>
      <c r="N161" s="146">
        <v>183</v>
      </c>
      <c r="O161" s="146">
        <v>177</v>
      </c>
      <c r="P161" s="145">
        <f>MEDIAN(N161,O161)</f>
        <v>180</v>
      </c>
      <c r="Q161" s="3"/>
      <c r="R161" s="147">
        <f>1+19</f>
        <v>20</v>
      </c>
      <c r="S161" s="148">
        <f>(((R161)*(1+0.12)+(((L161)-(R161))/4))*1*4*1.15*1)</f>
        <v>135.24</v>
      </c>
      <c r="T161" s="498">
        <f>(S161/S$194)</f>
        <v>2.7241512810399958E-2</v>
      </c>
      <c r="U161" s="498"/>
      <c r="V161" s="498"/>
      <c r="W161" s="498"/>
      <c r="X161" s="103">
        <v>3</v>
      </c>
      <c r="Y161" s="149"/>
      <c r="Z161" s="150">
        <f>X161/S224</f>
        <v>0.9882352941176471</v>
      </c>
      <c r="AA161" t="s">
        <v>414</v>
      </c>
    </row>
    <row r="162" spans="1:27" ht="12" customHeight="1" x14ac:dyDescent="0.2">
      <c r="A162" s="3"/>
      <c r="B162" s="3"/>
      <c r="C162" s="3"/>
      <c r="D162" s="151" t="s">
        <v>171</v>
      </c>
      <c r="E162" s="3"/>
      <c r="F162" s="28" t="s">
        <v>172</v>
      </c>
      <c r="G162" s="3"/>
      <c r="H162" s="29" t="s">
        <v>22</v>
      </c>
      <c r="I162" s="3"/>
      <c r="J162" s="29">
        <v>40</v>
      </c>
      <c r="K162" s="3"/>
      <c r="L162" s="29">
        <f>1+37</f>
        <v>38</v>
      </c>
      <c r="M162" s="3"/>
      <c r="N162" s="64">
        <v>159</v>
      </c>
      <c r="O162" s="64">
        <v>164</v>
      </c>
      <c r="P162" s="145">
        <f>MEDIAN(N162,O162)</f>
        <v>161.5</v>
      </c>
      <c r="Q162" s="3"/>
      <c r="R162" s="65">
        <f>22+1</f>
        <v>23</v>
      </c>
      <c r="S162" s="152">
        <f>(((R162)*(1+0.12)+(((L162)-(R162))/4))*1*4*1.15*1)</f>
        <v>135.74600000000001</v>
      </c>
      <c r="T162" s="464">
        <f>(S162/S$194)</f>
        <v>2.7343436837921863E-2</v>
      </c>
      <c r="U162" s="464"/>
      <c r="V162" s="464"/>
      <c r="W162" s="464"/>
      <c r="X162" s="35">
        <v>3</v>
      </c>
      <c r="Y162" s="36" t="s">
        <v>411</v>
      </c>
      <c r="Z162" s="37">
        <f>X162/S224</f>
        <v>0.9882352941176471</v>
      </c>
      <c r="AA162" t="s">
        <v>415</v>
      </c>
    </row>
    <row r="163" spans="1:27" ht="12.75" customHeight="1" x14ac:dyDescent="0.2">
      <c r="A163" s="3"/>
      <c r="B163" s="3"/>
      <c r="C163" s="3"/>
      <c r="D163" s="151" t="s">
        <v>173</v>
      </c>
      <c r="E163" s="3"/>
      <c r="F163" s="28" t="s">
        <v>174</v>
      </c>
      <c r="G163" s="3"/>
      <c r="H163" s="29" t="s">
        <v>22</v>
      </c>
      <c r="I163" s="3"/>
      <c r="J163" s="29">
        <v>50</v>
      </c>
      <c r="K163" s="3"/>
      <c r="L163" s="29">
        <v>41</v>
      </c>
      <c r="M163" s="3"/>
      <c r="N163" s="64">
        <v>123</v>
      </c>
      <c r="O163" s="64">
        <v>131</v>
      </c>
      <c r="P163" s="145">
        <f>MEDIAN(N163,O163)</f>
        <v>127</v>
      </c>
      <c r="Q163" s="3"/>
      <c r="R163" s="65">
        <v>26</v>
      </c>
      <c r="S163" s="152">
        <f>((P163)*1*1.15*1)</f>
        <v>146.04999999999998</v>
      </c>
      <c r="T163" s="464">
        <f>(S163/S$194)</f>
        <v>2.9418980671095187E-2</v>
      </c>
      <c r="U163" s="464"/>
      <c r="V163" s="464"/>
      <c r="W163" s="464"/>
      <c r="X163" s="35">
        <v>3</v>
      </c>
      <c r="Y163" s="36">
        <v>0</v>
      </c>
      <c r="Z163" s="37">
        <f>X163/S224</f>
        <v>0.9882352941176471</v>
      </c>
    </row>
    <row r="164" spans="1:27" ht="14.25" customHeight="1" x14ac:dyDescent="0.2">
      <c r="A164" s="3"/>
      <c r="B164" s="3"/>
      <c r="C164" s="3"/>
      <c r="D164" s="151" t="s">
        <v>175</v>
      </c>
      <c r="E164" s="3"/>
      <c r="F164" s="28" t="s">
        <v>176</v>
      </c>
      <c r="G164" s="3"/>
      <c r="H164" s="29" t="s">
        <v>22</v>
      </c>
      <c r="I164" s="3"/>
      <c r="J164" s="29">
        <v>0</v>
      </c>
      <c r="K164" s="3"/>
      <c r="L164" s="29">
        <v>2</v>
      </c>
      <c r="M164" s="3"/>
      <c r="N164" s="64">
        <v>117</v>
      </c>
      <c r="O164" s="64">
        <v>120</v>
      </c>
      <c r="P164" s="145">
        <f>MEDIAN(N164,O164)</f>
        <v>118.5</v>
      </c>
      <c r="Q164" s="3"/>
      <c r="R164" s="65">
        <f>3+10</f>
        <v>13</v>
      </c>
      <c r="S164" s="152">
        <f>(((R164)*(1+0.12)))*1*4*1.15*1</f>
        <v>66.975999999999999</v>
      </c>
      <c r="T164" s="464">
        <f>(S164/S$194)</f>
        <v>1.3491034915626645E-2</v>
      </c>
      <c r="U164" s="464"/>
      <c r="V164" s="464"/>
      <c r="W164" s="464"/>
      <c r="X164" s="35">
        <v>2</v>
      </c>
      <c r="Y164" s="36"/>
      <c r="Z164" s="37">
        <f>X164/S224</f>
        <v>0.6588235294117647</v>
      </c>
    </row>
    <row r="165" spans="1:27" ht="15" customHeight="1" x14ac:dyDescent="0.2">
      <c r="A165" s="3"/>
      <c r="B165" s="3"/>
      <c r="C165" s="3"/>
      <c r="D165" s="153" t="s">
        <v>177</v>
      </c>
      <c r="E165" s="3"/>
      <c r="F165" s="43" t="s">
        <v>178</v>
      </c>
      <c r="G165" s="3"/>
      <c r="H165" s="44" t="s">
        <v>22</v>
      </c>
      <c r="I165" s="3"/>
      <c r="J165" s="44">
        <v>100</v>
      </c>
      <c r="K165" s="3"/>
      <c r="L165" s="44">
        <v>132</v>
      </c>
      <c r="M165" s="3"/>
      <c r="N165" s="154">
        <v>512</v>
      </c>
      <c r="O165" s="154">
        <v>504</v>
      </c>
      <c r="P165" s="145">
        <f>MEDIAN(N165,O165)</f>
        <v>508</v>
      </c>
      <c r="Q165" s="3"/>
      <c r="R165" s="93">
        <f>30+26</f>
        <v>56</v>
      </c>
      <c r="S165" s="155">
        <f>(((R165)*(1+0.12)+(((L165)-(R165))/4))*1*5*1.15*1)</f>
        <v>469.89</v>
      </c>
      <c r="T165" s="496">
        <f>(S165/S$194)</f>
        <v>9.4650358285114131E-2</v>
      </c>
      <c r="U165" s="496"/>
      <c r="V165" s="496"/>
      <c r="W165" s="496"/>
      <c r="X165" s="156">
        <v>3</v>
      </c>
      <c r="Y165" s="157"/>
      <c r="Z165" s="158">
        <f>X165/S224</f>
        <v>0.9882352941176471</v>
      </c>
    </row>
    <row r="166" spans="1:27" ht="15.75" customHeight="1" x14ac:dyDescent="0.2">
      <c r="A166" s="3"/>
      <c r="B166" s="3"/>
      <c r="C166" s="3"/>
      <c r="D166" s="502" t="s">
        <v>179</v>
      </c>
      <c r="E166" s="502"/>
      <c r="F166" s="502"/>
      <c r="G166" s="159"/>
      <c r="H166" s="160"/>
      <c r="I166" s="159"/>
      <c r="J166" s="160"/>
      <c r="K166" s="159"/>
      <c r="L166" s="160"/>
      <c r="M166" s="159"/>
      <c r="N166" s="159"/>
      <c r="O166" s="159"/>
      <c r="P166" s="160"/>
      <c r="Q166" s="159"/>
      <c r="R166" s="160"/>
      <c r="S166" s="161"/>
      <c r="T166" s="161"/>
      <c r="U166" s="161"/>
      <c r="V166" s="161"/>
      <c r="W166" s="161"/>
      <c r="X166" s="162"/>
      <c r="Y166" s="163"/>
      <c r="Z166" s="164"/>
      <c r="AA166" s="41" t="s">
        <v>416</v>
      </c>
    </row>
    <row r="167" spans="1:27" ht="12.75" customHeight="1" x14ac:dyDescent="0.2">
      <c r="A167" s="3"/>
      <c r="B167" s="3"/>
      <c r="C167" s="3"/>
      <c r="D167" s="165" t="s">
        <v>180</v>
      </c>
      <c r="E167" s="3"/>
      <c r="F167" s="144" t="s">
        <v>181</v>
      </c>
      <c r="G167" s="3"/>
      <c r="H167" s="145" t="s">
        <v>29</v>
      </c>
      <c r="I167" s="3"/>
      <c r="J167" s="145">
        <v>0</v>
      </c>
      <c r="K167" s="3"/>
      <c r="L167" s="145">
        <v>0</v>
      </c>
      <c r="M167" s="3"/>
      <c r="N167" s="146">
        <v>135</v>
      </c>
      <c r="O167" s="146">
        <v>130</v>
      </c>
      <c r="P167" s="145">
        <f>MEDIAN(N167,O167)</f>
        <v>132.5</v>
      </c>
      <c r="Q167" s="3"/>
      <c r="R167" s="166">
        <v>12</v>
      </c>
      <c r="S167" s="148">
        <f>((P167)*2*1*1)</f>
        <v>265</v>
      </c>
      <c r="T167" s="498">
        <f>(S167/S$194)</f>
        <v>5.3379184374120002E-2</v>
      </c>
      <c r="U167" s="498"/>
      <c r="V167" s="498"/>
      <c r="W167" s="498"/>
      <c r="X167" s="103">
        <v>2</v>
      </c>
      <c r="Y167" s="149" t="s">
        <v>73</v>
      </c>
      <c r="Z167" s="150">
        <f>X167/S224</f>
        <v>0.6588235294117647</v>
      </c>
      <c r="AA167" s="41" t="s">
        <v>417</v>
      </c>
    </row>
    <row r="168" spans="1:27" ht="12.75" customHeight="1" x14ac:dyDescent="0.2">
      <c r="A168" s="3"/>
      <c r="B168" s="3"/>
      <c r="C168" s="3"/>
      <c r="D168" s="167" t="s">
        <v>182</v>
      </c>
      <c r="E168" s="3"/>
      <c r="F168" s="28" t="s">
        <v>183</v>
      </c>
      <c r="G168" s="3"/>
      <c r="H168" s="29" t="s">
        <v>29</v>
      </c>
      <c r="I168" s="3"/>
      <c r="J168" s="29">
        <v>45</v>
      </c>
      <c r="K168" s="3"/>
      <c r="L168" s="29">
        <f>1+36</f>
        <v>37</v>
      </c>
      <c r="M168" s="3"/>
      <c r="N168" s="64">
        <v>131</v>
      </c>
      <c r="O168" s="64">
        <v>153</v>
      </c>
      <c r="P168" s="145">
        <f>MEDIAN(N168,O168)</f>
        <v>142</v>
      </c>
      <c r="Q168" s="3"/>
      <c r="R168" s="65">
        <f>9+2</f>
        <v>11</v>
      </c>
      <c r="S168" s="152">
        <f>((P168)*2*1*1)</f>
        <v>284</v>
      </c>
      <c r="T168" s="464">
        <f>(S168/S$194)</f>
        <v>5.7206371178302184E-2</v>
      </c>
      <c r="U168" s="464"/>
      <c r="V168" s="464"/>
      <c r="W168" s="464"/>
      <c r="X168" s="35">
        <v>3</v>
      </c>
      <c r="Y168" s="36" t="s">
        <v>73</v>
      </c>
      <c r="Z168" s="37">
        <f>X168/S224</f>
        <v>0.9882352941176471</v>
      </c>
      <c r="AA168" s="41" t="s">
        <v>418</v>
      </c>
    </row>
    <row r="169" spans="1:27" ht="12.75" customHeight="1" x14ac:dyDescent="0.2">
      <c r="A169" s="3"/>
      <c r="B169" s="3"/>
      <c r="C169" s="3"/>
      <c r="D169" s="168" t="s">
        <v>184</v>
      </c>
      <c r="E169" s="3"/>
      <c r="F169" s="43" t="s">
        <v>185</v>
      </c>
      <c r="G169" s="3"/>
      <c r="H169" s="44" t="s">
        <v>48</v>
      </c>
      <c r="I169" s="3"/>
      <c r="J169" s="44">
        <v>45</v>
      </c>
      <c r="K169" s="3"/>
      <c r="L169" s="44">
        <v>50</v>
      </c>
      <c r="M169" s="3"/>
      <c r="N169" s="154">
        <v>158</v>
      </c>
      <c r="O169" s="154">
        <v>144</v>
      </c>
      <c r="P169" s="145">
        <f>MEDIAN(N169,O169)</f>
        <v>151</v>
      </c>
      <c r="Q169" s="3"/>
      <c r="R169" s="93">
        <f>1+14</f>
        <v>15</v>
      </c>
      <c r="S169" s="155">
        <f>(((R169)*(1+0.1325)+(((L169)-(R169))/4))*1.5*4*1*1)</f>
        <v>154.42500000000001</v>
      </c>
      <c r="T169" s="496">
        <f>(S169/S$194)</f>
        <v>3.1105964328201816E-2</v>
      </c>
      <c r="U169" s="496"/>
      <c r="V169" s="496"/>
      <c r="W169" s="496"/>
      <c r="X169" s="156">
        <v>4</v>
      </c>
      <c r="Y169" s="157" t="s">
        <v>73</v>
      </c>
      <c r="Z169" s="158">
        <f>X169/S224</f>
        <v>1.3176470588235294</v>
      </c>
    </row>
    <row r="170" spans="1:27" ht="12.75" customHeight="1" x14ac:dyDescent="0.2">
      <c r="A170" s="3"/>
      <c r="B170" s="3"/>
      <c r="C170" s="3"/>
      <c r="D170" s="497" t="s">
        <v>186</v>
      </c>
      <c r="E170" s="497"/>
      <c r="F170" s="497"/>
      <c r="G170" s="169"/>
      <c r="H170" s="170"/>
      <c r="I170" s="169"/>
      <c r="J170" s="170"/>
      <c r="K170" s="169"/>
      <c r="L170" s="170"/>
      <c r="M170" s="169"/>
      <c r="N170" s="169"/>
      <c r="O170" s="169"/>
      <c r="P170" s="170"/>
      <c r="Q170" s="169"/>
      <c r="R170" s="170"/>
      <c r="S170" s="171"/>
      <c r="T170" s="171"/>
      <c r="U170" s="171"/>
      <c r="V170" s="171"/>
      <c r="W170" s="171"/>
      <c r="X170" s="172"/>
      <c r="Y170" s="173"/>
      <c r="Z170" s="174"/>
      <c r="AA170" s="41" t="s">
        <v>420</v>
      </c>
    </row>
    <row r="171" spans="1:27" ht="13.5" customHeight="1" x14ac:dyDescent="0.2">
      <c r="A171" s="3"/>
      <c r="B171" s="3"/>
      <c r="C171" s="3"/>
      <c r="D171" s="175" t="s">
        <v>187</v>
      </c>
      <c r="E171" s="3"/>
      <c r="F171" s="144" t="s">
        <v>188</v>
      </c>
      <c r="G171" s="3"/>
      <c r="H171" s="145" t="s">
        <v>29</v>
      </c>
      <c r="I171" s="3"/>
      <c r="J171" s="145">
        <v>45</v>
      </c>
      <c r="K171" s="3"/>
      <c r="L171" s="145">
        <v>35</v>
      </c>
      <c r="M171" s="3"/>
      <c r="N171" s="146">
        <v>166</v>
      </c>
      <c r="O171" s="146">
        <v>152</v>
      </c>
      <c r="P171" s="145">
        <f>MEDIAN(N171,O171)</f>
        <v>159</v>
      </c>
      <c r="Q171" s="3"/>
      <c r="R171" s="166">
        <f>5+19</f>
        <v>24</v>
      </c>
      <c r="S171" s="148">
        <f>(((R171)*(1+0.125)+(((L171)-(R171))/4))*2*4*1*1)</f>
        <v>238</v>
      </c>
      <c r="T171" s="498">
        <f>(S171/S$194)</f>
        <v>4.7940550494492681E-2</v>
      </c>
      <c r="U171" s="498"/>
      <c r="V171" s="498"/>
      <c r="W171" s="498"/>
      <c r="X171" s="103">
        <v>3</v>
      </c>
      <c r="Y171" s="149" t="s">
        <v>73</v>
      </c>
      <c r="Z171" s="150">
        <f>X171/S224</f>
        <v>0.9882352941176471</v>
      </c>
      <c r="AA171" s="41" t="s">
        <v>421</v>
      </c>
    </row>
    <row r="172" spans="1:27" ht="12.75" customHeight="1" x14ac:dyDescent="0.2">
      <c r="A172" s="3"/>
      <c r="B172" s="3"/>
      <c r="C172" s="3"/>
      <c r="D172" s="176" t="s">
        <v>189</v>
      </c>
      <c r="E172" s="3"/>
      <c r="F172" s="28" t="s">
        <v>190</v>
      </c>
      <c r="G172" s="3"/>
      <c r="H172" s="29" t="s">
        <v>22</v>
      </c>
      <c r="I172" s="3"/>
      <c r="J172" s="29">
        <v>40</v>
      </c>
      <c r="K172" s="3"/>
      <c r="L172" s="29">
        <v>42</v>
      </c>
      <c r="M172" s="3"/>
      <c r="N172" s="64">
        <v>101</v>
      </c>
      <c r="O172" s="64">
        <v>75</v>
      </c>
      <c r="P172" s="145">
        <f>MEDIAN(N172,O172)</f>
        <v>88</v>
      </c>
      <c r="Q172" s="3"/>
      <c r="R172" s="65">
        <f>1+2</f>
        <v>3</v>
      </c>
      <c r="S172" s="152">
        <f>((P172)*1.5*1.15*1)</f>
        <v>151.79999999999998</v>
      </c>
      <c r="T172" s="464">
        <f>(S172/S$194)</f>
        <v>3.0577208256571377E-2</v>
      </c>
      <c r="U172" s="464"/>
      <c r="V172" s="464"/>
      <c r="W172" s="464"/>
      <c r="X172" s="35">
        <v>4</v>
      </c>
      <c r="Y172" s="36"/>
      <c r="Z172" s="37">
        <f>X172/S224</f>
        <v>1.3176470588235294</v>
      </c>
      <c r="AA172" s="41" t="s">
        <v>419</v>
      </c>
    </row>
    <row r="173" spans="1:27" ht="12.75" customHeight="1" x14ac:dyDescent="0.2">
      <c r="A173" s="3"/>
      <c r="B173" s="3"/>
      <c r="C173" s="3"/>
      <c r="D173" s="176" t="s">
        <v>191</v>
      </c>
      <c r="E173" s="3"/>
      <c r="F173" s="28" t="s">
        <v>192</v>
      </c>
      <c r="G173" s="3"/>
      <c r="H173" s="29" t="s">
        <v>20</v>
      </c>
      <c r="I173" s="3"/>
      <c r="J173" s="29">
        <v>50</v>
      </c>
      <c r="K173" s="3"/>
      <c r="L173" s="29">
        <v>45</v>
      </c>
      <c r="M173" s="3"/>
      <c r="N173" s="64">
        <v>176</v>
      </c>
      <c r="O173" s="64">
        <v>140</v>
      </c>
      <c r="P173" s="145">
        <f>MEDIAN(N173,O173)</f>
        <v>158</v>
      </c>
      <c r="Q173" s="3"/>
      <c r="R173" s="65">
        <f>11+12</f>
        <v>23</v>
      </c>
      <c r="S173" s="152">
        <f>(((R173)*(1+0.1325)+(((L173)-(R173))/4))*2*4*1*1)</f>
        <v>252.38000000000002</v>
      </c>
      <c r="T173" s="464">
        <f>(S173/S$194)</f>
        <v>5.083712661260531E-2</v>
      </c>
      <c r="U173" s="464"/>
      <c r="V173" s="464"/>
      <c r="W173" s="464"/>
      <c r="X173" s="35">
        <v>3</v>
      </c>
      <c r="Y173" s="36"/>
      <c r="Z173" s="37">
        <f>X173/S224</f>
        <v>0.9882352941176471</v>
      </c>
    </row>
    <row r="174" spans="1:27" ht="13.5" customHeight="1" x14ac:dyDescent="0.2">
      <c r="A174" s="3"/>
      <c r="B174" s="3"/>
      <c r="C174" s="3"/>
      <c r="D174" s="176" t="s">
        <v>193</v>
      </c>
      <c r="E174" s="3"/>
      <c r="F174" s="28" t="s">
        <v>194</v>
      </c>
      <c r="G174" s="3"/>
      <c r="H174" s="29" t="s">
        <v>48</v>
      </c>
      <c r="I174" s="3"/>
      <c r="J174" s="29">
        <v>45</v>
      </c>
      <c r="K174" s="3"/>
      <c r="L174" s="29">
        <v>46</v>
      </c>
      <c r="M174" s="3"/>
      <c r="N174" s="64">
        <v>148</v>
      </c>
      <c r="O174" s="64">
        <v>129</v>
      </c>
      <c r="P174" s="145">
        <f>MEDIAN(N174,O174)</f>
        <v>138.5</v>
      </c>
      <c r="Q174" s="3"/>
      <c r="R174" s="65">
        <v>9</v>
      </c>
      <c r="S174" s="152">
        <f>(((R174)*(1+0.1325)+(((L174)-(R174))/4))*1.5*4*1*1)</f>
        <v>116.65500000000002</v>
      </c>
      <c r="T174" s="464">
        <f>(S174/S$194)</f>
        <v>2.3497919823256486E-2</v>
      </c>
      <c r="U174" s="464"/>
      <c r="V174" s="464"/>
      <c r="W174" s="464"/>
      <c r="X174" s="35">
        <v>3</v>
      </c>
      <c r="Y174" s="36"/>
      <c r="Z174" s="37">
        <f>X174/S224</f>
        <v>0.9882352941176471</v>
      </c>
    </row>
    <row r="175" spans="1:27" ht="13.5" customHeight="1" x14ac:dyDescent="0.2">
      <c r="A175" s="3"/>
      <c r="B175" s="3"/>
      <c r="C175" s="3"/>
      <c r="D175" s="177" t="s">
        <v>195</v>
      </c>
      <c r="E175" s="3"/>
      <c r="F175" s="43" t="s">
        <v>196</v>
      </c>
      <c r="G175" s="3"/>
      <c r="H175" s="44" t="s">
        <v>48</v>
      </c>
      <c r="I175" s="3"/>
      <c r="J175" s="44">
        <v>50</v>
      </c>
      <c r="K175" s="3"/>
      <c r="L175" s="44">
        <f>2+29</f>
        <v>31</v>
      </c>
      <c r="M175" s="3"/>
      <c r="N175" s="154">
        <v>114</v>
      </c>
      <c r="O175" s="154">
        <v>117</v>
      </c>
      <c r="P175" s="145">
        <f>MEDIAN(N175,O175)</f>
        <v>115.5</v>
      </c>
      <c r="Q175" s="3"/>
      <c r="R175" s="93">
        <f>5+11</f>
        <v>16</v>
      </c>
      <c r="S175" s="155">
        <f>(((R175)*(1+0.1325)+(((L175)-(R175))/4))*2*4*1*1)</f>
        <v>174.96</v>
      </c>
      <c r="T175" s="496">
        <f>(S175/S$194)</f>
        <v>3.5242347539985036E-2</v>
      </c>
      <c r="U175" s="496"/>
      <c r="V175" s="496"/>
      <c r="W175" s="496"/>
      <c r="X175" s="156">
        <v>4</v>
      </c>
      <c r="Y175" s="157"/>
      <c r="Z175" s="158">
        <f>X175/S224</f>
        <v>1.3176470588235294</v>
      </c>
    </row>
    <row r="176" spans="1:27" ht="13.5" customHeight="1" x14ac:dyDescent="0.2">
      <c r="A176" s="3"/>
      <c r="B176" s="3"/>
      <c r="C176" s="3"/>
      <c r="D176" s="499" t="s">
        <v>197</v>
      </c>
      <c r="E176" s="499"/>
      <c r="F176" s="499"/>
      <c r="G176" s="178"/>
      <c r="H176" s="179"/>
      <c r="I176" s="178"/>
      <c r="J176" s="179"/>
      <c r="K176" s="178"/>
      <c r="L176" s="179"/>
      <c r="M176" s="178"/>
      <c r="N176" s="178"/>
      <c r="O176" s="178"/>
      <c r="P176" s="179"/>
      <c r="Q176" s="178"/>
      <c r="R176" s="179"/>
      <c r="S176" s="180"/>
      <c r="T176" s="180"/>
      <c r="U176" s="180"/>
      <c r="V176" s="180"/>
      <c r="W176" s="180"/>
      <c r="X176" s="181"/>
      <c r="Y176" s="182"/>
      <c r="Z176" s="183"/>
      <c r="AA176" s="41" t="s">
        <v>420</v>
      </c>
    </row>
    <row r="177" spans="1:27" ht="12.75" customHeight="1" x14ac:dyDescent="0.2">
      <c r="A177" s="3"/>
      <c r="B177" s="3"/>
      <c r="C177" s="3"/>
      <c r="D177" s="184" t="s">
        <v>198</v>
      </c>
      <c r="E177" s="3"/>
      <c r="F177" s="144" t="s">
        <v>199</v>
      </c>
      <c r="G177" s="3"/>
      <c r="H177" s="145" t="s">
        <v>48</v>
      </c>
      <c r="I177" s="3"/>
      <c r="J177" s="145">
        <v>45</v>
      </c>
      <c r="K177" s="3"/>
      <c r="L177" s="145">
        <v>12</v>
      </c>
      <c r="M177" s="3"/>
      <c r="N177" s="146">
        <v>60</v>
      </c>
      <c r="O177" s="146">
        <v>65</v>
      </c>
      <c r="P177" s="145">
        <f t="shared" ref="P177:P187" si="9">MEDIAN(N177,O177)</f>
        <v>62.5</v>
      </c>
      <c r="Q177" s="3"/>
      <c r="R177" s="147">
        <f>4+3</f>
        <v>7</v>
      </c>
      <c r="S177" s="185">
        <f>((P177)*1*1*1)</f>
        <v>62.5</v>
      </c>
      <c r="T177" s="495">
        <f t="shared" ref="T177:T187" si="10">(S177/S$194)</f>
        <v>1.2589430276915094E-2</v>
      </c>
      <c r="U177" s="495"/>
      <c r="V177" s="495"/>
      <c r="W177" s="495"/>
      <c r="X177" s="397">
        <v>2</v>
      </c>
      <c r="Y177" s="186" t="s">
        <v>73</v>
      </c>
      <c r="Z177" s="150">
        <f>X177/S224</f>
        <v>0.6588235294117647</v>
      </c>
      <c r="AA177" s="41" t="s">
        <v>422</v>
      </c>
    </row>
    <row r="178" spans="1:27" ht="11.25" customHeight="1" x14ac:dyDescent="0.2">
      <c r="A178" s="3"/>
      <c r="B178" s="3"/>
      <c r="C178" s="3"/>
      <c r="D178" s="187" t="s">
        <v>200</v>
      </c>
      <c r="E178" s="3"/>
      <c r="F178" s="28" t="s">
        <v>201</v>
      </c>
      <c r="G178" s="3"/>
      <c r="H178" s="29" t="s">
        <v>48</v>
      </c>
      <c r="I178" s="3"/>
      <c r="J178" s="29">
        <v>20</v>
      </c>
      <c r="K178" s="3"/>
      <c r="L178" s="29">
        <v>20</v>
      </c>
      <c r="M178" s="3"/>
      <c r="N178" s="64">
        <v>14</v>
      </c>
      <c r="O178" s="64">
        <v>33</v>
      </c>
      <c r="P178" s="145">
        <f t="shared" si="9"/>
        <v>23.5</v>
      </c>
      <c r="Q178" s="3"/>
      <c r="R178" s="65">
        <v>0</v>
      </c>
      <c r="S178" s="188">
        <f>((P178)*1.5*1*1)</f>
        <v>35.25</v>
      </c>
      <c r="T178" s="487">
        <f t="shared" si="10"/>
        <v>7.1004386761801134E-3</v>
      </c>
      <c r="U178" s="487"/>
      <c r="V178" s="487"/>
      <c r="W178" s="487"/>
      <c r="X178" s="189">
        <v>3</v>
      </c>
      <c r="Y178" s="36">
        <v>0</v>
      </c>
      <c r="Z178" s="37">
        <f>X178/S224</f>
        <v>0.9882352941176471</v>
      </c>
      <c r="AA178" s="41" t="s">
        <v>423</v>
      </c>
    </row>
    <row r="179" spans="1:27" ht="12" customHeight="1" x14ac:dyDescent="0.2">
      <c r="A179" s="3"/>
      <c r="B179" s="3"/>
      <c r="C179" s="3"/>
      <c r="D179" s="187" t="s">
        <v>202</v>
      </c>
      <c r="E179" s="3"/>
      <c r="F179" s="28" t="s">
        <v>203</v>
      </c>
      <c r="G179" s="3"/>
      <c r="H179" s="29" t="s">
        <v>22</v>
      </c>
      <c r="I179" s="3"/>
      <c r="J179" s="29">
        <v>45</v>
      </c>
      <c r="K179" s="3"/>
      <c r="L179" s="29">
        <v>51</v>
      </c>
      <c r="M179" s="3"/>
      <c r="N179" s="64">
        <v>154</v>
      </c>
      <c r="O179" s="64">
        <v>133</v>
      </c>
      <c r="P179" s="145">
        <f t="shared" si="9"/>
        <v>143.5</v>
      </c>
      <c r="Q179" s="3"/>
      <c r="R179" s="65">
        <f>1+15</f>
        <v>16</v>
      </c>
      <c r="S179" s="188">
        <f>((P179)*1*1.15*1)</f>
        <v>165.02499999999998</v>
      </c>
      <c r="T179" s="487">
        <f t="shared" si="10"/>
        <v>3.3241131703166608E-2</v>
      </c>
      <c r="U179" s="487"/>
      <c r="V179" s="487"/>
      <c r="W179" s="487"/>
      <c r="X179" s="189">
        <v>2</v>
      </c>
      <c r="Y179" s="36"/>
      <c r="Z179" s="37">
        <f>X179/S224</f>
        <v>0.6588235294117647</v>
      </c>
    </row>
    <row r="180" spans="1:27" ht="12.75" customHeight="1" x14ac:dyDescent="0.2">
      <c r="A180" s="3"/>
      <c r="B180" s="3"/>
      <c r="C180" s="3"/>
      <c r="D180" s="187">
        <v>116732</v>
      </c>
      <c r="E180" s="3"/>
      <c r="F180" s="28" t="s">
        <v>204</v>
      </c>
      <c r="G180" s="3"/>
      <c r="H180" s="29" t="s">
        <v>22</v>
      </c>
      <c r="I180" s="3"/>
      <c r="J180" s="29">
        <v>0</v>
      </c>
      <c r="K180" s="3"/>
      <c r="L180" s="29">
        <v>38</v>
      </c>
      <c r="M180" s="3"/>
      <c r="N180" s="64">
        <v>95</v>
      </c>
      <c r="O180" s="64">
        <v>134</v>
      </c>
      <c r="P180" s="145">
        <f t="shared" si="9"/>
        <v>114.5</v>
      </c>
      <c r="Q180" s="3"/>
      <c r="R180" s="65">
        <v>5</v>
      </c>
      <c r="S180" s="188">
        <f>((P180)*1*1.15*1)</f>
        <v>131.67499999999998</v>
      </c>
      <c r="T180" s="487">
        <f t="shared" si="10"/>
        <v>2.6523411707404718E-2</v>
      </c>
      <c r="U180" s="487"/>
      <c r="V180" s="487"/>
      <c r="W180" s="487"/>
      <c r="X180" s="189">
        <v>3</v>
      </c>
      <c r="Y180" s="36" t="s">
        <v>73</v>
      </c>
      <c r="Z180" s="37">
        <f>X180/S224</f>
        <v>0.9882352941176471</v>
      </c>
    </row>
    <row r="181" spans="1:27" ht="12.75" customHeight="1" x14ac:dyDescent="0.2">
      <c r="A181" s="3"/>
      <c r="B181" s="3"/>
      <c r="C181" s="3"/>
      <c r="D181" s="187" t="s">
        <v>205</v>
      </c>
      <c r="E181" s="3"/>
      <c r="F181" s="28" t="s">
        <v>99</v>
      </c>
      <c r="G181" s="3"/>
      <c r="H181" s="29" t="s">
        <v>20</v>
      </c>
      <c r="I181" s="3"/>
      <c r="J181" s="29">
        <v>50</v>
      </c>
      <c r="K181" s="3"/>
      <c r="L181" s="29">
        <v>48</v>
      </c>
      <c r="M181" s="3"/>
      <c r="N181" s="64">
        <v>149</v>
      </c>
      <c r="O181" s="64">
        <v>116</v>
      </c>
      <c r="P181" s="145">
        <f t="shared" si="9"/>
        <v>132.5</v>
      </c>
      <c r="Q181" s="3"/>
      <c r="R181" s="65">
        <f>8+10</f>
        <v>18</v>
      </c>
      <c r="S181" s="188">
        <f>(((R181)*(1+0.1)+(((L181)-(R181))/4))*1*4*1*1)</f>
        <v>109.2</v>
      </c>
      <c r="T181" s="487">
        <f t="shared" si="10"/>
        <v>2.1996252579826053E-2</v>
      </c>
      <c r="U181" s="487"/>
      <c r="V181" s="487"/>
      <c r="W181" s="487"/>
      <c r="X181" s="189">
        <v>2</v>
      </c>
      <c r="Y181" s="36"/>
      <c r="Z181" s="37">
        <f>X181/S224</f>
        <v>0.6588235294117647</v>
      </c>
    </row>
    <row r="182" spans="1:27" ht="12" customHeight="1" x14ac:dyDescent="0.2">
      <c r="A182" s="3"/>
      <c r="B182" s="3"/>
      <c r="C182" s="3"/>
      <c r="D182" s="187" t="s">
        <v>206</v>
      </c>
      <c r="E182" s="3"/>
      <c r="F182" s="28" t="s">
        <v>207</v>
      </c>
      <c r="G182" s="3"/>
      <c r="H182" s="29" t="s">
        <v>20</v>
      </c>
      <c r="I182" s="3"/>
      <c r="J182" s="29">
        <v>25</v>
      </c>
      <c r="K182" s="3"/>
      <c r="L182" s="29">
        <v>17</v>
      </c>
      <c r="M182" s="3"/>
      <c r="N182" s="64">
        <v>59</v>
      </c>
      <c r="O182" s="64">
        <v>61</v>
      </c>
      <c r="P182" s="145">
        <f t="shared" si="9"/>
        <v>60</v>
      </c>
      <c r="Q182" s="3"/>
      <c r="R182" s="65">
        <v>10</v>
      </c>
      <c r="S182" s="188">
        <f>(((R182)*(1+0.115)+(((L182)-(R182))/4))*1*4*1*1)</f>
        <v>51.6</v>
      </c>
      <c r="T182" s="487">
        <f t="shared" si="10"/>
        <v>1.0393833636621101E-2</v>
      </c>
      <c r="U182" s="487"/>
      <c r="V182" s="487"/>
      <c r="W182" s="487"/>
      <c r="X182" s="189">
        <v>3</v>
      </c>
      <c r="Y182" s="36">
        <v>0</v>
      </c>
      <c r="Z182" s="37">
        <f>X182/S224</f>
        <v>0.9882352941176471</v>
      </c>
    </row>
    <row r="183" spans="1:27" ht="12.75" customHeight="1" x14ac:dyDescent="0.2">
      <c r="A183" s="3"/>
      <c r="B183" s="3"/>
      <c r="C183" s="3"/>
      <c r="D183" s="187" t="s">
        <v>208</v>
      </c>
      <c r="E183" s="3"/>
      <c r="F183" s="28" t="s">
        <v>209</v>
      </c>
      <c r="G183" s="3"/>
      <c r="H183" s="29" t="s">
        <v>20</v>
      </c>
      <c r="I183" s="3"/>
      <c r="J183" s="29">
        <v>25</v>
      </c>
      <c r="K183" s="3"/>
      <c r="L183" s="29">
        <v>20</v>
      </c>
      <c r="M183" s="3"/>
      <c r="N183" s="64">
        <v>55</v>
      </c>
      <c r="O183" s="64">
        <v>61</v>
      </c>
      <c r="P183" s="145">
        <f t="shared" si="9"/>
        <v>58</v>
      </c>
      <c r="Q183" s="3"/>
      <c r="R183" s="65">
        <f>8+1</f>
        <v>9</v>
      </c>
      <c r="S183" s="188">
        <f>(((R183)*(1+0.115)+(((L183)-(R183))/4))*1*4*1*1)</f>
        <v>51.14</v>
      </c>
      <c r="T183" s="487">
        <f t="shared" si="10"/>
        <v>1.0301175429783007E-2</v>
      </c>
      <c r="U183" s="487"/>
      <c r="V183" s="487"/>
      <c r="W183" s="487"/>
      <c r="X183" s="189">
        <v>3</v>
      </c>
      <c r="Y183" s="36">
        <v>0</v>
      </c>
      <c r="Z183" s="37">
        <f>X183/S224</f>
        <v>0.9882352941176471</v>
      </c>
    </row>
    <row r="184" spans="1:27" ht="14.25" customHeight="1" x14ac:dyDescent="0.2">
      <c r="A184" s="3"/>
      <c r="B184" s="3"/>
      <c r="C184" s="3"/>
      <c r="D184" s="187">
        <v>28509</v>
      </c>
      <c r="E184" s="3"/>
      <c r="F184" s="28" t="s">
        <v>210</v>
      </c>
      <c r="G184" s="3"/>
      <c r="H184" s="29" t="s">
        <v>20</v>
      </c>
      <c r="I184" s="3"/>
      <c r="J184" s="29">
        <v>0</v>
      </c>
      <c r="K184" s="3"/>
      <c r="L184" s="29">
        <v>47</v>
      </c>
      <c r="M184" s="3"/>
      <c r="N184" s="64">
        <v>152</v>
      </c>
      <c r="O184" s="64">
        <v>135</v>
      </c>
      <c r="P184" s="145">
        <f t="shared" si="9"/>
        <v>143.5</v>
      </c>
      <c r="Q184" s="3"/>
      <c r="R184" s="65">
        <v>19</v>
      </c>
      <c r="S184" s="188">
        <f>(((R184)*(1+0.115)+(((L184)-(R184))/4))*1*4*1*1)</f>
        <v>112.74</v>
      </c>
      <c r="T184" s="487">
        <f t="shared" si="10"/>
        <v>2.2709317910710524E-2</v>
      </c>
      <c r="U184" s="487"/>
      <c r="V184" s="487"/>
      <c r="W184" s="487"/>
      <c r="X184" s="189">
        <v>4</v>
      </c>
      <c r="Y184" s="36"/>
      <c r="Z184" s="37">
        <f>X184/S224</f>
        <v>1.3176470588235294</v>
      </c>
    </row>
    <row r="185" spans="1:27" ht="12.75" customHeight="1" x14ac:dyDescent="0.2">
      <c r="A185" s="3"/>
      <c r="B185" s="3"/>
      <c r="C185" s="3"/>
      <c r="D185" s="187" t="s">
        <v>211</v>
      </c>
      <c r="E185" s="3"/>
      <c r="F185" s="28" t="s">
        <v>212</v>
      </c>
      <c r="G185" s="3"/>
      <c r="H185" s="29" t="s">
        <v>48</v>
      </c>
      <c r="I185" s="3"/>
      <c r="J185" s="29">
        <v>20</v>
      </c>
      <c r="K185" s="3"/>
      <c r="L185" s="29">
        <v>17</v>
      </c>
      <c r="M185" s="3"/>
      <c r="N185" s="64">
        <v>25</v>
      </c>
      <c r="O185" s="64">
        <v>39</v>
      </c>
      <c r="P185" s="145">
        <f t="shared" si="9"/>
        <v>32</v>
      </c>
      <c r="Q185" s="3"/>
      <c r="R185" s="65">
        <v>8</v>
      </c>
      <c r="S185" s="188">
        <f>((P185)*1.5*1*1)</f>
        <v>48</v>
      </c>
      <c r="T185" s="487">
        <f t="shared" si="10"/>
        <v>9.6686824526707928E-3</v>
      </c>
      <c r="U185" s="487"/>
      <c r="V185" s="487"/>
      <c r="W185" s="487"/>
      <c r="X185" s="189">
        <v>4</v>
      </c>
      <c r="Y185" s="36" t="s">
        <v>73</v>
      </c>
      <c r="Z185" s="37">
        <f>X185/S224</f>
        <v>1.3176470588235294</v>
      </c>
    </row>
    <row r="186" spans="1:27" ht="12.75" customHeight="1" x14ac:dyDescent="0.2">
      <c r="A186" s="3"/>
      <c r="B186" s="3"/>
      <c r="C186" s="3"/>
      <c r="D186" s="187">
        <v>62083</v>
      </c>
      <c r="E186" s="3"/>
      <c r="F186" s="28" t="s">
        <v>145</v>
      </c>
      <c r="G186" s="3"/>
      <c r="H186" s="29" t="s">
        <v>48</v>
      </c>
      <c r="I186" s="3"/>
      <c r="J186" s="29">
        <v>0</v>
      </c>
      <c r="K186" s="3"/>
      <c r="L186" s="29">
        <v>42</v>
      </c>
      <c r="M186" s="3"/>
      <c r="N186" s="64">
        <v>139</v>
      </c>
      <c r="O186" s="64">
        <v>140</v>
      </c>
      <c r="P186" s="145">
        <f t="shared" si="9"/>
        <v>139.5</v>
      </c>
      <c r="Q186" s="3"/>
      <c r="R186" s="65">
        <v>13</v>
      </c>
      <c r="S186" s="188">
        <f>(((R186)*(1+0.1)+(((L186)-(R186))/4))*1*4*1*1)</f>
        <v>86.2</v>
      </c>
      <c r="T186" s="487">
        <f t="shared" si="10"/>
        <v>1.7363342237921298E-2</v>
      </c>
      <c r="U186" s="487"/>
      <c r="V186" s="487"/>
      <c r="W186" s="487"/>
      <c r="X186" s="189">
        <v>5</v>
      </c>
      <c r="Y186" s="36"/>
      <c r="Z186" s="37">
        <f>X186/S224</f>
        <v>1.6470588235294119</v>
      </c>
    </row>
    <row r="187" spans="1:27" ht="12.75" customHeight="1" x14ac:dyDescent="0.2">
      <c r="A187" s="3"/>
      <c r="B187" s="3"/>
      <c r="C187" s="3"/>
      <c r="D187" s="190" t="s">
        <v>213</v>
      </c>
      <c r="E187" s="3"/>
      <c r="F187" s="43" t="s">
        <v>214</v>
      </c>
      <c r="G187" s="3"/>
      <c r="H187" s="44" t="s">
        <v>48</v>
      </c>
      <c r="I187" s="3"/>
      <c r="J187" s="44">
        <v>20</v>
      </c>
      <c r="K187" s="3"/>
      <c r="L187" s="44">
        <v>10</v>
      </c>
      <c r="M187" s="3"/>
      <c r="N187" s="154">
        <v>10</v>
      </c>
      <c r="O187" s="154">
        <v>20</v>
      </c>
      <c r="P187" s="145">
        <f t="shared" si="9"/>
        <v>15</v>
      </c>
      <c r="Q187" s="3"/>
      <c r="R187" s="93">
        <v>0</v>
      </c>
      <c r="S187" s="191">
        <f>((P187)*1.5*1*1)</f>
        <v>22.5</v>
      </c>
      <c r="T187" s="488">
        <f t="shared" si="10"/>
        <v>4.5321948996894339E-3</v>
      </c>
      <c r="U187" s="488"/>
      <c r="V187" s="488"/>
      <c r="W187" s="488"/>
      <c r="X187" s="192">
        <v>3</v>
      </c>
      <c r="Y187" s="157" t="s">
        <v>73</v>
      </c>
      <c r="Z187" s="158">
        <f>X187/S224</f>
        <v>0.9882352941176471</v>
      </c>
    </row>
    <row r="188" spans="1:27" ht="12.75" customHeight="1" x14ac:dyDescent="0.2">
      <c r="A188" s="3"/>
      <c r="B188" s="3"/>
      <c r="C188" s="3"/>
      <c r="D188" s="489" t="s">
        <v>215</v>
      </c>
      <c r="E188" s="489"/>
      <c r="F188" s="489"/>
      <c r="G188" s="193"/>
      <c r="H188" s="194"/>
      <c r="I188" s="193"/>
      <c r="J188" s="194"/>
      <c r="K188" s="193"/>
      <c r="L188" s="194"/>
      <c r="M188" s="193"/>
      <c r="N188" s="193"/>
      <c r="O188" s="193"/>
      <c r="P188" s="194"/>
      <c r="Q188" s="193"/>
      <c r="R188" s="194"/>
      <c r="S188" s="195"/>
      <c r="T188" s="195"/>
      <c r="U188" s="195"/>
      <c r="V188" s="195"/>
      <c r="W188" s="195"/>
      <c r="X188" s="196"/>
      <c r="Y188" s="197"/>
      <c r="Z188" s="198"/>
      <c r="AA188" s="41" t="s">
        <v>424</v>
      </c>
    </row>
    <row r="189" spans="1:27" ht="13.5" customHeight="1" x14ac:dyDescent="0.2">
      <c r="A189" s="3"/>
      <c r="B189" s="3"/>
      <c r="C189" s="3"/>
      <c r="D189" s="199" t="s">
        <v>216</v>
      </c>
      <c r="E189" s="3"/>
      <c r="F189" s="144" t="s">
        <v>217</v>
      </c>
      <c r="G189" s="3"/>
      <c r="H189" s="145" t="s">
        <v>48</v>
      </c>
      <c r="I189" s="3"/>
      <c r="J189" s="145">
        <v>45</v>
      </c>
      <c r="K189" s="3"/>
      <c r="L189" s="145">
        <v>43</v>
      </c>
      <c r="M189" s="3"/>
      <c r="N189" s="146">
        <v>162</v>
      </c>
      <c r="O189" s="146">
        <v>161</v>
      </c>
      <c r="P189" s="145">
        <f>MEDIAN(N189,O189)</f>
        <v>161.5</v>
      </c>
      <c r="Q189" s="3"/>
      <c r="R189" s="166">
        <f>3+29</f>
        <v>32</v>
      </c>
      <c r="S189" s="148">
        <f>(((R189)*(1+0.066)+(((L189)-(R189))/4))*1.5*5*1*1)</f>
        <v>276.46500000000003</v>
      </c>
      <c r="T189" s="490">
        <f>(S189/S$194)</f>
        <v>5.5688589464117311E-2</v>
      </c>
      <c r="U189" s="490"/>
      <c r="V189" s="490"/>
      <c r="W189" s="490"/>
      <c r="X189" s="103">
        <v>3</v>
      </c>
      <c r="Y189" s="149"/>
      <c r="Z189" s="150">
        <f>X189/S224</f>
        <v>0.9882352941176471</v>
      </c>
      <c r="AA189" s="41" t="s">
        <v>425</v>
      </c>
    </row>
    <row r="190" spans="1:27" ht="12.75" customHeight="1" x14ac:dyDescent="0.2">
      <c r="A190" s="3"/>
      <c r="B190" s="3"/>
      <c r="C190" s="3"/>
      <c r="D190" s="200" t="s">
        <v>218</v>
      </c>
      <c r="E190" s="3"/>
      <c r="F190" s="28" t="s">
        <v>219</v>
      </c>
      <c r="G190" s="3"/>
      <c r="H190" s="29" t="s">
        <v>29</v>
      </c>
      <c r="I190" s="3"/>
      <c r="J190" s="29">
        <v>0</v>
      </c>
      <c r="K190" s="3"/>
      <c r="L190" s="29">
        <v>9</v>
      </c>
      <c r="M190" s="3"/>
      <c r="N190" s="64">
        <v>111</v>
      </c>
      <c r="O190" s="64">
        <v>83</v>
      </c>
      <c r="P190" s="145">
        <f>MEDIAN(N190,O190)</f>
        <v>97</v>
      </c>
      <c r="Q190" s="3"/>
      <c r="R190" s="65">
        <f>17+1</f>
        <v>18</v>
      </c>
      <c r="S190" s="398">
        <f>((R190)*(1+0.066))*1.5*5*1*1</f>
        <v>143.91000000000003</v>
      </c>
      <c r="T190" s="487">
        <f>(S190/S$194)</f>
        <v>2.8987918578413624E-2</v>
      </c>
      <c r="U190" s="487"/>
      <c r="V190" s="487"/>
      <c r="W190" s="487"/>
      <c r="X190" s="35">
        <v>4</v>
      </c>
      <c r="Y190" s="36"/>
      <c r="Z190" s="37">
        <f>X190/S224</f>
        <v>1.3176470588235294</v>
      </c>
      <c r="AA190" s="41" t="s">
        <v>426</v>
      </c>
    </row>
    <row r="191" spans="1:27" ht="13.5" customHeight="1" x14ac:dyDescent="0.2">
      <c r="A191" s="3"/>
      <c r="B191" s="3"/>
      <c r="C191" s="3"/>
      <c r="D191" s="200" t="s">
        <v>220</v>
      </c>
      <c r="E191" s="3"/>
      <c r="F191" s="28" t="s">
        <v>221</v>
      </c>
      <c r="G191" s="3"/>
      <c r="H191" s="29" t="s">
        <v>29</v>
      </c>
      <c r="I191" s="3"/>
      <c r="J191" s="29">
        <v>40</v>
      </c>
      <c r="K191" s="3"/>
      <c r="L191" s="29">
        <f>16+17</f>
        <v>33</v>
      </c>
      <c r="M191" s="3"/>
      <c r="N191" s="64">
        <v>214</v>
      </c>
      <c r="O191" s="64">
        <v>203</v>
      </c>
      <c r="P191" s="145">
        <f>MEDIAN(N191,O191)</f>
        <v>208.5</v>
      </c>
      <c r="Q191" s="3"/>
      <c r="R191" s="65">
        <v>31</v>
      </c>
      <c r="S191" s="152">
        <f>(((R191)*(1+0.065)+(((L191)-(R191))/4))*4.5*6*1*1)</f>
        <v>904.90499999999997</v>
      </c>
      <c r="T191" s="487">
        <f>(S191/S$194)</f>
        <v>0.18227581447570965</v>
      </c>
      <c r="U191" s="487"/>
      <c r="V191" s="487"/>
      <c r="W191" s="487"/>
      <c r="X191" s="35">
        <v>3</v>
      </c>
      <c r="Y191" s="36"/>
      <c r="Z191" s="37">
        <f>X191/S224</f>
        <v>0.9882352941176471</v>
      </c>
      <c r="AA191">
        <f>22+8+45+3+1+28+53+3+112+31+10+52</f>
        <v>368</v>
      </c>
    </row>
    <row r="192" spans="1:27" s="41" customFormat="1" ht="13.5" customHeight="1" thickBot="1" x14ac:dyDescent="0.25">
      <c r="A192" s="375"/>
      <c r="B192" s="375"/>
      <c r="C192" s="375"/>
      <c r="D192" s="201">
        <v>24087</v>
      </c>
      <c r="E192" s="375"/>
      <c r="F192" s="43" t="s">
        <v>222</v>
      </c>
      <c r="G192" s="375"/>
      <c r="H192" s="44" t="s">
        <v>29</v>
      </c>
      <c r="I192" s="375"/>
      <c r="J192" s="44">
        <v>30</v>
      </c>
      <c r="K192" s="375"/>
      <c r="L192" s="44">
        <f>45+1</f>
        <v>46</v>
      </c>
      <c r="M192" s="375"/>
      <c r="N192" s="154">
        <v>163</v>
      </c>
      <c r="O192" s="154">
        <v>159</v>
      </c>
      <c r="P192" s="145">
        <f>MEDIAN(N192,O192)</f>
        <v>161</v>
      </c>
      <c r="Q192" s="375"/>
      <c r="R192" s="93">
        <v>27</v>
      </c>
      <c r="S192" s="202">
        <f>(((R192)*(1+0.1)+(((L192)-(R192))/4))*1*5*1*1)</f>
        <v>172.25</v>
      </c>
      <c r="T192" s="487">
        <f>(S192/S$194)</f>
        <v>3.4696469843178E-2</v>
      </c>
      <c r="U192" s="487"/>
      <c r="V192" s="487"/>
      <c r="W192" s="487"/>
      <c r="X192" s="374">
        <v>3</v>
      </c>
      <c r="Y192" s="376"/>
      <c r="Z192" s="383">
        <f>X192/S224</f>
        <v>0.9882352941176471</v>
      </c>
    </row>
    <row r="193" spans="1:28" s="411" customFormat="1" ht="14.25" customHeight="1" thickBot="1" x14ac:dyDescent="0.25">
      <c r="A193" s="399"/>
      <c r="B193" s="399"/>
      <c r="C193" s="399"/>
      <c r="D193" s="425"/>
      <c r="E193" s="399"/>
      <c r="F193" s="426"/>
      <c r="G193" s="399"/>
      <c r="H193" s="427"/>
      <c r="I193" s="399"/>
      <c r="J193" s="427"/>
      <c r="K193" s="399"/>
      <c r="L193" s="427"/>
      <c r="M193" s="399"/>
      <c r="N193" s="428"/>
      <c r="O193" s="428"/>
      <c r="P193" s="429"/>
      <c r="Q193" s="399"/>
      <c r="R193" s="430"/>
      <c r="S193" s="431"/>
      <c r="T193" s="491"/>
      <c r="U193" s="492"/>
      <c r="V193" s="492"/>
      <c r="W193" s="493"/>
      <c r="X193" s="432"/>
      <c r="Y193" s="433"/>
      <c r="Z193" s="434"/>
      <c r="AA193" s="435" t="s">
        <v>410</v>
      </c>
    </row>
    <row r="194" spans="1:28" ht="14.25" customHeight="1" thickBot="1" x14ac:dyDescent="0.25">
      <c r="A194" s="3"/>
      <c r="B194" s="3"/>
      <c r="C194" s="3"/>
      <c r="D194" s="469" t="s">
        <v>223</v>
      </c>
      <c r="E194" s="469"/>
      <c r="F194" s="469"/>
      <c r="G194" s="469"/>
      <c r="H194" s="469"/>
      <c r="I194" s="469"/>
      <c r="J194" s="469"/>
      <c r="K194" s="469"/>
      <c r="L194" s="469"/>
      <c r="M194" s="469"/>
      <c r="N194" s="469"/>
      <c r="O194" s="469"/>
      <c r="P194" s="469"/>
      <c r="Q194" s="469"/>
      <c r="R194" s="469"/>
      <c r="S194" s="90">
        <f>SUM(S161:S193)</f>
        <v>4964.482</v>
      </c>
      <c r="T194" s="494">
        <f>SUM(T161:T165)+SUM(T167:T193)</f>
        <v>1</v>
      </c>
      <c r="U194" s="494"/>
      <c r="V194" s="494"/>
      <c r="W194" s="494"/>
      <c r="X194" s="477"/>
      <c r="Y194" s="477"/>
      <c r="Z194" s="477"/>
    </row>
    <row r="195" spans="1:28" ht="14.25" customHeight="1" x14ac:dyDescent="0.2">
      <c r="A195" s="3"/>
      <c r="B195" s="3"/>
      <c r="C195" s="3"/>
      <c r="D195" s="478" t="s">
        <v>224</v>
      </c>
      <c r="E195" s="478"/>
      <c r="F195" s="478"/>
      <c r="G195" s="478"/>
      <c r="H195" s="478"/>
      <c r="I195" s="478"/>
      <c r="J195" s="478"/>
      <c r="K195" s="478"/>
      <c r="L195" s="478"/>
      <c r="M195" s="478"/>
      <c r="N195" s="478"/>
      <c r="O195" s="478"/>
      <c r="P195" s="478"/>
      <c r="Q195" s="478"/>
      <c r="R195" s="478"/>
      <c r="S195" s="90">
        <f>(S194+S218)</f>
        <v>5359.482</v>
      </c>
      <c r="T195" s="479">
        <f>((S195+S218)/TAEj!B20)</f>
        <v>0.48037093617605409</v>
      </c>
      <c r="U195" s="479"/>
      <c r="V195" s="479"/>
      <c r="W195" s="479"/>
      <c r="X195" s="477"/>
      <c r="Y195" s="477"/>
      <c r="Z195" s="477"/>
    </row>
    <row r="196" spans="1:28" ht="14.25" customHeight="1" x14ac:dyDescent="0.2">
      <c r="A196" s="3"/>
      <c r="B196" s="3"/>
      <c r="C196" s="3"/>
      <c r="D196" s="480" t="s">
        <v>225</v>
      </c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50">
        <f>SUM(Z161:Z193)/28</f>
        <v>1.0235294117647058</v>
      </c>
      <c r="T196" s="481" t="s">
        <v>33</v>
      </c>
      <c r="U196" s="481"/>
      <c r="V196" s="481"/>
      <c r="W196" s="481"/>
      <c r="X196" s="52" t="s">
        <v>34</v>
      </c>
      <c r="Y196" s="52" t="s">
        <v>35</v>
      </c>
      <c r="Z196" s="53" t="s">
        <v>36</v>
      </c>
    </row>
    <row r="197" spans="1:28" ht="14.25" customHeight="1" x14ac:dyDescent="0.2">
      <c r="A197" s="3"/>
      <c r="B197" s="3"/>
      <c r="C197" s="3"/>
      <c r="D197" s="482" t="s">
        <v>226</v>
      </c>
      <c r="E197" s="482"/>
      <c r="F197" s="482"/>
      <c r="G197" s="482"/>
      <c r="H197" s="482"/>
      <c r="I197" s="482"/>
      <c r="J197" s="482"/>
      <c r="K197" s="482"/>
      <c r="L197" s="482"/>
      <c r="M197" s="482"/>
      <c r="N197" s="482"/>
      <c r="O197" s="482"/>
      <c r="P197" s="482"/>
      <c r="Q197" s="482"/>
      <c r="R197" s="482"/>
      <c r="S197" s="56">
        <f>S195/SUM(T197:Z197)</f>
        <v>9.789365821582523</v>
      </c>
      <c r="T197" s="483">
        <f>(45+28+53+112+52)*1.7</f>
        <v>493</v>
      </c>
      <c r="U197" s="483"/>
      <c r="V197" s="483"/>
      <c r="W197" s="483"/>
      <c r="X197" s="54">
        <f>(8+1+0+3+10)*1</f>
        <v>22</v>
      </c>
      <c r="Y197" s="54">
        <f>(22+3+0+0+31)*0.58</f>
        <v>32.479999999999997</v>
      </c>
      <c r="Z197" s="55">
        <f>(0+0+0+0+0)*1</f>
        <v>0</v>
      </c>
    </row>
    <row r="198" spans="1:28" ht="14.25" customHeight="1" x14ac:dyDescent="0.2">
      <c r="A198" s="3"/>
      <c r="B198" s="3"/>
      <c r="C198" s="3"/>
      <c r="D198" s="484" t="s">
        <v>227</v>
      </c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484"/>
      <c r="R198" s="484"/>
      <c r="S198" s="56">
        <f>S197/S226</f>
        <v>0.76503284857065423</v>
      </c>
      <c r="T198" s="485"/>
      <c r="U198" s="485"/>
      <c r="V198" s="485"/>
      <c r="W198" s="485"/>
      <c r="X198" s="485"/>
      <c r="Y198" s="485"/>
      <c r="Z198" s="485"/>
      <c r="AA198" t="s">
        <v>434</v>
      </c>
      <c r="AB198" s="41">
        <f>SUM(P161:P165,P167:P169,P171:P175,P177:P187,P189:P192)</f>
        <v>3732</v>
      </c>
    </row>
    <row r="199" spans="1:28" ht="14.25" customHeight="1" x14ac:dyDescent="0.2">
      <c r="A199" s="3"/>
      <c r="B199" s="3"/>
      <c r="C199" s="3"/>
      <c r="D199" s="486" t="s">
        <v>228</v>
      </c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57">
        <f>S196+S198+S219</f>
        <v>3.0218955936686935</v>
      </c>
      <c r="T199" s="485"/>
      <c r="U199" s="485"/>
      <c r="V199" s="485"/>
      <c r="W199" s="485"/>
      <c r="X199" s="485"/>
      <c r="Y199" s="485"/>
      <c r="Z199" s="485"/>
      <c r="AA199" t="s">
        <v>435</v>
      </c>
      <c r="AB199">
        <f>SUM(O161:O165,O167:O169,O171:O175,O177:O187,O189:O192)</f>
        <v>3679</v>
      </c>
    </row>
    <row r="200" spans="1:28" ht="14.25" customHeight="1" x14ac:dyDescent="0.2">
      <c r="A200" s="3"/>
      <c r="B200" s="3"/>
      <c r="C200" s="3"/>
      <c r="D200" s="471" t="s">
        <v>229</v>
      </c>
      <c r="E200" s="471"/>
      <c r="F200" s="471"/>
      <c r="G200" s="471"/>
      <c r="H200" s="471"/>
      <c r="I200" s="471"/>
      <c r="J200" s="471"/>
      <c r="K200" s="471"/>
      <c r="L200" s="471"/>
      <c r="M200" s="471"/>
      <c r="N200" s="471"/>
      <c r="O200" s="471"/>
      <c r="P200" s="471"/>
      <c r="Q200" s="471"/>
      <c r="R200" s="471"/>
      <c r="S200" s="58">
        <f>S195/S223</f>
        <v>0.44739724370650752</v>
      </c>
      <c r="T200" s="72"/>
      <c r="U200" s="72"/>
      <c r="V200" s="72"/>
      <c r="W200" s="72"/>
      <c r="X200" s="72"/>
      <c r="Y200" s="72"/>
      <c r="Z200" s="72"/>
      <c r="AA200" s="41" t="s">
        <v>436</v>
      </c>
      <c r="AB200" s="41">
        <f>SUM(N161:N165,N167:N169,N171:N175,N177:N187,N189:N192)</f>
        <v>3785</v>
      </c>
    </row>
    <row r="201" spans="1:28" ht="14.25" customHeight="1" x14ac:dyDescent="0.2">
      <c r="A201" s="3"/>
      <c r="B201" s="3"/>
      <c r="C201" s="3"/>
      <c r="D201" s="472" t="s">
        <v>230</v>
      </c>
      <c r="E201" s="472"/>
      <c r="F201" s="472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72"/>
      <c r="R201" s="472"/>
      <c r="S201" s="58">
        <f>S199/S227</f>
        <v>0.17219217996123876</v>
      </c>
      <c r="T201" s="72"/>
      <c r="U201" s="72"/>
      <c r="V201" s="72"/>
      <c r="W201" s="72"/>
      <c r="X201" s="72"/>
      <c r="Y201" s="72"/>
      <c r="Z201" s="72"/>
    </row>
    <row r="202" spans="1:28" ht="14.25" customHeight="1" x14ac:dyDescent="0.2">
      <c r="A202" s="3"/>
      <c r="B202" s="3"/>
      <c r="C202" s="3"/>
      <c r="D202" s="460" t="s">
        <v>231</v>
      </c>
      <c r="E202" s="460"/>
      <c r="F202" s="460"/>
      <c r="G202" s="460"/>
      <c r="H202" s="460"/>
      <c r="I202" s="460"/>
      <c r="J202" s="460"/>
      <c r="K202" s="460"/>
      <c r="L202" s="460"/>
      <c r="M202" s="460"/>
      <c r="N202" s="460"/>
      <c r="O202" s="460"/>
      <c r="P202" s="460"/>
      <c r="Q202" s="460"/>
      <c r="R202" s="460"/>
      <c r="S202" s="62">
        <f>((S200*0.9)+(S201*0.1))</f>
        <v>0.41987673733198061</v>
      </c>
      <c r="T202" s="72"/>
      <c r="U202" s="72"/>
      <c r="V202" s="72"/>
      <c r="W202" s="72"/>
      <c r="X202" s="72"/>
      <c r="Y202" s="72"/>
      <c r="Z202" s="72"/>
    </row>
    <row r="203" spans="1:28" ht="12" customHeight="1" x14ac:dyDescent="0.2">
      <c r="A203" s="3"/>
      <c r="B203" s="3"/>
      <c r="C203" s="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4"/>
      <c r="T203" s="72"/>
      <c r="U203" s="72"/>
      <c r="V203" s="72"/>
      <c r="W203" s="72"/>
      <c r="X203" s="72"/>
      <c r="Y203" s="72"/>
      <c r="Z203" s="72"/>
      <c r="AA203" t="s">
        <v>437</v>
      </c>
      <c r="AB203">
        <f>AB198+SUM(P207:P217)</f>
        <v>4179</v>
      </c>
    </row>
    <row r="204" spans="1:28" ht="11.25" customHeight="1" x14ac:dyDescent="0.2">
      <c r="A204" s="3"/>
      <c r="B204" s="3"/>
      <c r="C204" s="3"/>
      <c r="D204" s="473" t="s">
        <v>232</v>
      </c>
      <c r="E204" s="473"/>
      <c r="F204" s="473"/>
      <c r="G204" s="473"/>
      <c r="H204" s="473"/>
      <c r="I204" s="473"/>
      <c r="J204" s="473"/>
      <c r="K204" s="473"/>
      <c r="L204" s="473"/>
      <c r="M204" s="473"/>
      <c r="N204" s="473"/>
      <c r="O204" s="473"/>
      <c r="P204" s="473"/>
      <c r="Q204" s="473"/>
      <c r="R204" s="473"/>
      <c r="S204" s="473"/>
      <c r="T204" s="473"/>
      <c r="U204" s="473"/>
      <c r="V204" s="473"/>
      <c r="W204" s="3"/>
      <c r="X204" s="474"/>
      <c r="Y204" s="474"/>
      <c r="Z204" s="474"/>
    </row>
    <row r="205" spans="1:28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74"/>
      <c r="Y205" s="474"/>
      <c r="Z205" s="474"/>
    </row>
    <row r="206" spans="1:28" ht="24.75" customHeight="1" thickBot="1" x14ac:dyDescent="0.25">
      <c r="A206" s="3"/>
      <c r="B206" s="3"/>
      <c r="C206" s="3"/>
      <c r="D206" s="18" t="s">
        <v>4</v>
      </c>
      <c r="E206" s="19"/>
      <c r="F206" s="20" t="s">
        <v>5</v>
      </c>
      <c r="G206" s="19"/>
      <c r="H206" s="21" t="s">
        <v>6</v>
      </c>
      <c r="I206" s="19"/>
      <c r="J206" s="21" t="s">
        <v>7</v>
      </c>
      <c r="K206" s="19"/>
      <c r="L206" s="21" t="s">
        <v>8</v>
      </c>
      <c r="M206" s="19"/>
      <c r="N206" s="21" t="s">
        <v>9</v>
      </c>
      <c r="O206" s="21" t="s">
        <v>10</v>
      </c>
      <c r="P206" s="21" t="s">
        <v>11</v>
      </c>
      <c r="Q206" s="19"/>
      <c r="R206" s="63" t="s">
        <v>12</v>
      </c>
      <c r="S206" s="85" t="s">
        <v>404</v>
      </c>
      <c r="T206" s="475" t="s">
        <v>14</v>
      </c>
      <c r="U206" s="475"/>
      <c r="V206" s="475"/>
      <c r="W206" s="475"/>
      <c r="X206" s="73" t="s">
        <v>233</v>
      </c>
      <c r="Y206" s="75" t="s">
        <v>65</v>
      </c>
      <c r="Z206" s="205"/>
    </row>
    <row r="207" spans="1:28" ht="14.25" customHeight="1" thickBot="1" x14ac:dyDescent="0.25">
      <c r="A207" s="3"/>
      <c r="B207" s="3"/>
      <c r="C207" s="3"/>
      <c r="D207" s="27" t="s">
        <v>234</v>
      </c>
      <c r="E207" s="3"/>
      <c r="F207" s="28" t="s">
        <v>119</v>
      </c>
      <c r="G207" s="3"/>
      <c r="H207" s="29" t="s">
        <v>29</v>
      </c>
      <c r="I207" s="3"/>
      <c r="J207" s="29" t="s">
        <v>66</v>
      </c>
      <c r="K207" s="3"/>
      <c r="L207" s="29">
        <v>20</v>
      </c>
      <c r="M207" s="3"/>
      <c r="N207" s="380" t="s">
        <v>397</v>
      </c>
      <c r="O207" s="380">
        <v>36</v>
      </c>
      <c r="P207" s="29">
        <f t="shared" ref="P207:P217" si="11">MEDIAN(N207:O207)</f>
        <v>36</v>
      </c>
      <c r="Q207" s="3"/>
      <c r="R207" s="65">
        <v>3</v>
      </c>
      <c r="S207" s="102">
        <f>(((R207)*2*1))</f>
        <v>6</v>
      </c>
      <c r="T207" s="476">
        <f>(S207/S$218)</f>
        <v>1.5189873417721518E-2</v>
      </c>
      <c r="U207" s="476"/>
      <c r="V207" s="476"/>
      <c r="W207" s="476"/>
      <c r="X207" s="35">
        <v>4</v>
      </c>
      <c r="Y207" s="37">
        <f>X207/S225</f>
        <v>1.2</v>
      </c>
      <c r="Z207" s="6"/>
    </row>
    <row r="208" spans="1:28" s="41" customFormat="1" ht="14.25" customHeight="1" x14ac:dyDescent="0.2">
      <c r="A208" s="378"/>
      <c r="B208" s="378"/>
      <c r="C208" s="378"/>
      <c r="D208" s="27"/>
      <c r="E208" s="378"/>
      <c r="F208" s="28" t="s">
        <v>398</v>
      </c>
      <c r="G208" s="378"/>
      <c r="H208" s="29" t="s">
        <v>29</v>
      </c>
      <c r="I208" s="378"/>
      <c r="J208" s="29" t="s">
        <v>66</v>
      </c>
      <c r="K208" s="378"/>
      <c r="L208" s="29">
        <v>16</v>
      </c>
      <c r="M208" s="378"/>
      <c r="N208" s="380" t="s">
        <v>397</v>
      </c>
      <c r="O208" s="380">
        <v>32</v>
      </c>
      <c r="P208" s="29">
        <f t="shared" si="11"/>
        <v>32</v>
      </c>
      <c r="Q208" s="378"/>
      <c r="R208" s="65">
        <v>8</v>
      </c>
      <c r="S208" s="377">
        <f>(((R208)*2*2))</f>
        <v>32</v>
      </c>
      <c r="T208" s="476">
        <f>(S208/S$218)</f>
        <v>8.1012658227848103E-2</v>
      </c>
      <c r="U208" s="476"/>
      <c r="V208" s="476"/>
      <c r="W208" s="476"/>
      <c r="X208" s="384">
        <v>3</v>
      </c>
      <c r="Y208" s="383">
        <f>X208/S225</f>
        <v>0.89999999999999991</v>
      </c>
      <c r="Z208" s="6"/>
    </row>
    <row r="209" spans="1:26" ht="24" customHeight="1" x14ac:dyDescent="0.2">
      <c r="A209" s="3"/>
      <c r="B209" s="3"/>
      <c r="C209" s="3"/>
      <c r="D209" s="27" t="s">
        <v>235</v>
      </c>
      <c r="E209" s="3"/>
      <c r="F209" s="28" t="s">
        <v>399</v>
      </c>
      <c r="G209" s="3"/>
      <c r="H209" s="29" t="s">
        <v>29</v>
      </c>
      <c r="I209" s="3"/>
      <c r="J209" s="29" t="s">
        <v>66</v>
      </c>
      <c r="K209" s="3"/>
      <c r="L209" s="29">
        <v>6</v>
      </c>
      <c r="M209" s="3"/>
      <c r="N209" s="380" t="s">
        <v>397</v>
      </c>
      <c r="O209" s="380">
        <v>18</v>
      </c>
      <c r="P209" s="29">
        <f t="shared" si="11"/>
        <v>18</v>
      </c>
      <c r="Q209" s="3"/>
      <c r="R209" s="65">
        <v>11</v>
      </c>
      <c r="S209" s="106">
        <f>(((R209)*4*2))</f>
        <v>88</v>
      </c>
      <c r="T209" s="464">
        <f>(S209/S$218)</f>
        <v>0.22278481012658227</v>
      </c>
      <c r="U209" s="464"/>
      <c r="V209" s="464"/>
      <c r="W209" s="464"/>
      <c r="X209" s="35">
        <v>3</v>
      </c>
      <c r="Y209" s="37">
        <f>X209/S225</f>
        <v>0.89999999999999991</v>
      </c>
      <c r="Z209" s="6"/>
    </row>
    <row r="210" spans="1:26" s="41" customFormat="1" ht="28.5" customHeight="1" x14ac:dyDescent="0.2">
      <c r="A210" s="378"/>
      <c r="B210" s="378"/>
      <c r="C210" s="378"/>
      <c r="D210" s="27"/>
      <c r="E210" s="378"/>
      <c r="F210" s="43" t="s">
        <v>400</v>
      </c>
      <c r="G210" s="378"/>
      <c r="H210" s="29" t="s">
        <v>29</v>
      </c>
      <c r="I210" s="378"/>
      <c r="J210" s="29" t="s">
        <v>66</v>
      </c>
      <c r="K210" s="378"/>
      <c r="L210" s="29">
        <v>9</v>
      </c>
      <c r="M210" s="378"/>
      <c r="N210" s="380" t="s">
        <v>397</v>
      </c>
      <c r="O210" s="380">
        <v>44</v>
      </c>
      <c r="P210" s="29">
        <f t="shared" si="11"/>
        <v>44</v>
      </c>
      <c r="Q210" s="378"/>
      <c r="R210" s="65">
        <v>8</v>
      </c>
      <c r="S210" s="377">
        <f>(((R210)*2*2))</f>
        <v>32</v>
      </c>
      <c r="T210" s="464">
        <f>(S210/S$218)</f>
        <v>8.1012658227848103E-2</v>
      </c>
      <c r="U210" s="464"/>
      <c r="V210" s="464"/>
      <c r="W210" s="464"/>
      <c r="X210" s="384">
        <v>4</v>
      </c>
      <c r="Y210" s="383">
        <f>X210/S225</f>
        <v>1.2</v>
      </c>
      <c r="Z210" s="6"/>
    </row>
    <row r="211" spans="1:26" ht="28.5" customHeight="1" x14ac:dyDescent="0.2">
      <c r="A211" s="3"/>
      <c r="B211" s="3"/>
      <c r="C211" s="3"/>
      <c r="D211" s="27" t="s">
        <v>236</v>
      </c>
      <c r="E211" s="3"/>
      <c r="F211" s="208" t="s">
        <v>401</v>
      </c>
      <c r="G211" s="3"/>
      <c r="H211" s="29" t="s">
        <v>29</v>
      </c>
      <c r="I211" s="3"/>
      <c r="J211" s="29" t="s">
        <v>66</v>
      </c>
      <c r="K211" s="3"/>
      <c r="L211" s="29">
        <v>0</v>
      </c>
      <c r="M211" s="3"/>
      <c r="N211" s="380" t="s">
        <v>397</v>
      </c>
      <c r="O211" s="380">
        <v>12</v>
      </c>
      <c r="P211" s="29">
        <f t="shared" si="11"/>
        <v>12</v>
      </c>
      <c r="Q211" s="3"/>
      <c r="R211" s="65">
        <v>0</v>
      </c>
      <c r="S211" s="106">
        <f>(((P211)*2))</f>
        <v>24</v>
      </c>
      <c r="T211" s="464">
        <f t="shared" ref="T211:T217" si="12">(S211/S$218)</f>
        <v>6.0759493670886074E-2</v>
      </c>
      <c r="U211" s="464"/>
      <c r="V211" s="464"/>
      <c r="W211" s="464"/>
      <c r="X211" s="35">
        <v>4</v>
      </c>
      <c r="Y211" s="37">
        <f>X211/S225</f>
        <v>1.2</v>
      </c>
      <c r="Z211" s="6"/>
    </row>
    <row r="212" spans="1:26" ht="13.5" customHeight="1" x14ac:dyDescent="0.2">
      <c r="A212" s="3"/>
      <c r="B212" s="3"/>
      <c r="C212" s="3"/>
      <c r="D212" s="27" t="s">
        <v>237</v>
      </c>
      <c r="E212" s="3"/>
      <c r="F212" s="206" t="s">
        <v>402</v>
      </c>
      <c r="G212" s="3"/>
      <c r="H212" s="29" t="s">
        <v>29</v>
      </c>
      <c r="I212" s="3"/>
      <c r="J212" s="29" t="s">
        <v>66</v>
      </c>
      <c r="K212" s="3"/>
      <c r="L212" s="207">
        <v>18</v>
      </c>
      <c r="M212" s="3"/>
      <c r="N212" s="380" t="s">
        <v>397</v>
      </c>
      <c r="O212" s="380">
        <v>58</v>
      </c>
      <c r="P212" s="29">
        <f t="shared" si="11"/>
        <v>58</v>
      </c>
      <c r="Q212" s="3"/>
      <c r="R212" s="65">
        <v>1</v>
      </c>
      <c r="S212" s="106">
        <f>(((R212)*2*1))</f>
        <v>2</v>
      </c>
      <c r="T212" s="464">
        <f t="shared" si="12"/>
        <v>5.0632911392405064E-3</v>
      </c>
      <c r="U212" s="464"/>
      <c r="V212" s="464"/>
      <c r="W212" s="464"/>
      <c r="X212" s="35">
        <v>4</v>
      </c>
      <c r="Y212" s="37">
        <f>X212/S225</f>
        <v>1.2</v>
      </c>
      <c r="Z212" s="6"/>
    </row>
    <row r="213" spans="1:26" ht="15.75" customHeight="1" x14ac:dyDescent="0.2">
      <c r="A213" s="3"/>
      <c r="B213" s="3"/>
      <c r="C213" s="3"/>
      <c r="D213" s="27" t="s">
        <v>238</v>
      </c>
      <c r="E213" s="3"/>
      <c r="F213" s="28" t="s">
        <v>239</v>
      </c>
      <c r="G213" s="3"/>
      <c r="H213" s="29" t="s">
        <v>29</v>
      </c>
      <c r="I213" s="3"/>
      <c r="J213" s="29" t="s">
        <v>66</v>
      </c>
      <c r="K213" s="3"/>
      <c r="L213" s="29">
        <v>20</v>
      </c>
      <c r="M213" s="3"/>
      <c r="N213" s="380" t="s">
        <v>397</v>
      </c>
      <c r="O213" s="380">
        <v>50</v>
      </c>
      <c r="P213" s="29">
        <f t="shared" si="11"/>
        <v>50</v>
      </c>
      <c r="Q213" s="3"/>
      <c r="R213" s="65">
        <v>9</v>
      </c>
      <c r="S213" s="106">
        <f>((P213)*1)</f>
        <v>50</v>
      </c>
      <c r="T213" s="464">
        <f t="shared" si="12"/>
        <v>0.12658227848101267</v>
      </c>
      <c r="U213" s="464"/>
      <c r="V213" s="464"/>
      <c r="W213" s="464"/>
      <c r="X213" s="35">
        <v>3</v>
      </c>
      <c r="Y213" s="37">
        <f>X213/S225</f>
        <v>0.89999999999999991</v>
      </c>
      <c r="Z213" s="6"/>
    </row>
    <row r="214" spans="1:26" ht="24" customHeight="1" x14ac:dyDescent="0.2">
      <c r="A214" s="3"/>
      <c r="B214" s="3"/>
      <c r="C214" s="3"/>
      <c r="D214" s="27" t="s">
        <v>240</v>
      </c>
      <c r="E214" s="3"/>
      <c r="F214" s="208" t="s">
        <v>241</v>
      </c>
      <c r="G214" s="3"/>
      <c r="H214" s="29" t="s">
        <v>29</v>
      </c>
      <c r="I214" s="3"/>
      <c r="J214" s="29" t="s">
        <v>66</v>
      </c>
      <c r="K214" s="3"/>
      <c r="L214" s="29">
        <v>20</v>
      </c>
      <c r="M214" s="3"/>
      <c r="N214" s="380" t="s">
        <v>397</v>
      </c>
      <c r="O214" s="380">
        <v>38</v>
      </c>
      <c r="P214" s="29">
        <f t="shared" si="11"/>
        <v>38</v>
      </c>
      <c r="Q214" s="3"/>
      <c r="R214" s="65">
        <v>3</v>
      </c>
      <c r="S214" s="106">
        <f>((P214)*1)</f>
        <v>38</v>
      </c>
      <c r="T214" s="464">
        <f t="shared" si="12"/>
        <v>9.6202531645569619E-2</v>
      </c>
      <c r="U214" s="464"/>
      <c r="V214" s="464"/>
      <c r="W214" s="464"/>
      <c r="X214" s="35">
        <v>3</v>
      </c>
      <c r="Y214" s="37">
        <f>X214/S225</f>
        <v>0.89999999999999991</v>
      </c>
      <c r="Z214" s="6"/>
    </row>
    <row r="215" spans="1:26" ht="24" customHeight="1" x14ac:dyDescent="0.2">
      <c r="A215" s="3"/>
      <c r="B215" s="3"/>
      <c r="C215" s="3"/>
      <c r="D215" s="27" t="s">
        <v>242</v>
      </c>
      <c r="E215" s="3"/>
      <c r="F215" s="208" t="s">
        <v>243</v>
      </c>
      <c r="G215" s="3"/>
      <c r="H215" s="29" t="s">
        <v>29</v>
      </c>
      <c r="I215" s="3"/>
      <c r="J215" s="29" t="s">
        <v>66</v>
      </c>
      <c r="K215" s="3"/>
      <c r="L215" s="29">
        <v>17</v>
      </c>
      <c r="M215" s="3"/>
      <c r="N215" s="380" t="s">
        <v>397</v>
      </c>
      <c r="O215" s="380">
        <v>42</v>
      </c>
      <c r="P215" s="29">
        <f t="shared" si="11"/>
        <v>42</v>
      </c>
      <c r="Q215" s="3"/>
      <c r="R215" s="65">
        <v>0</v>
      </c>
      <c r="S215" s="106">
        <f>((P215)*1)</f>
        <v>42</v>
      </c>
      <c r="T215" s="464">
        <f t="shared" si="12"/>
        <v>0.10632911392405063</v>
      </c>
      <c r="U215" s="464"/>
      <c r="V215" s="464"/>
      <c r="W215" s="464"/>
      <c r="X215" s="35">
        <v>3</v>
      </c>
      <c r="Y215" s="37">
        <f>X215/S225</f>
        <v>0.89999999999999991</v>
      </c>
      <c r="Z215" s="6"/>
    </row>
    <row r="216" spans="1:26" ht="14.25" customHeight="1" x14ac:dyDescent="0.2">
      <c r="A216" s="3"/>
      <c r="B216" s="3"/>
      <c r="C216" s="3"/>
      <c r="D216" s="27" t="s">
        <v>244</v>
      </c>
      <c r="E216" s="3"/>
      <c r="F216" s="28" t="s">
        <v>245</v>
      </c>
      <c r="G216" s="3"/>
      <c r="H216" s="29" t="s">
        <v>29</v>
      </c>
      <c r="I216" s="3"/>
      <c r="J216" s="29" t="s">
        <v>66</v>
      </c>
      <c r="K216" s="3"/>
      <c r="L216" s="29">
        <v>23</v>
      </c>
      <c r="M216" s="3"/>
      <c r="N216" s="380" t="s">
        <v>397</v>
      </c>
      <c r="O216" s="380">
        <v>63</v>
      </c>
      <c r="P216" s="29">
        <f t="shared" si="11"/>
        <v>63</v>
      </c>
      <c r="Q216" s="3"/>
      <c r="R216" s="93">
        <v>2</v>
      </c>
      <c r="S216" s="106">
        <f>((P216)*1)</f>
        <v>63</v>
      </c>
      <c r="T216" s="464">
        <f t="shared" si="12"/>
        <v>0.15949367088607594</v>
      </c>
      <c r="U216" s="464"/>
      <c r="V216" s="464"/>
      <c r="W216" s="464"/>
      <c r="X216" s="35">
        <v>3</v>
      </c>
      <c r="Y216" s="37">
        <f>X216/S225</f>
        <v>0.89999999999999991</v>
      </c>
      <c r="Z216" s="6"/>
    </row>
    <row r="217" spans="1:26" ht="18.75" customHeight="1" thickBot="1" x14ac:dyDescent="0.25">
      <c r="A217" s="3"/>
      <c r="B217" s="3"/>
      <c r="C217" s="3"/>
      <c r="D217" s="66" t="s">
        <v>246</v>
      </c>
      <c r="E217" s="67"/>
      <c r="F217" s="68" t="s">
        <v>247</v>
      </c>
      <c r="G217" s="67"/>
      <c r="H217" s="69" t="s">
        <v>29</v>
      </c>
      <c r="I217" s="67"/>
      <c r="J217" s="29" t="s">
        <v>66</v>
      </c>
      <c r="K217" s="67"/>
      <c r="L217" s="69">
        <v>21</v>
      </c>
      <c r="M217" s="67"/>
      <c r="N217" s="380" t="s">
        <v>397</v>
      </c>
      <c r="O217" s="380">
        <v>54</v>
      </c>
      <c r="P217" s="29">
        <f t="shared" si="11"/>
        <v>54</v>
      </c>
      <c r="Q217" s="67"/>
      <c r="R217" s="209">
        <v>9</v>
      </c>
      <c r="S217" s="109">
        <f>(((R217)*2*1))</f>
        <v>18</v>
      </c>
      <c r="T217" s="465">
        <f t="shared" si="12"/>
        <v>4.5569620253164557E-2</v>
      </c>
      <c r="U217" s="465"/>
      <c r="V217" s="465"/>
      <c r="W217" s="465"/>
      <c r="X217" s="48">
        <v>3</v>
      </c>
      <c r="Y217" s="55">
        <f>X217/S225</f>
        <v>0.89999999999999991</v>
      </c>
      <c r="Z217" s="6"/>
    </row>
    <row r="218" spans="1:26" ht="15" customHeight="1" thickBot="1" x14ac:dyDescent="0.25">
      <c r="A218" s="3"/>
      <c r="B218" s="3"/>
      <c r="C218" s="3"/>
      <c r="D218" s="466" t="s">
        <v>403</v>
      </c>
      <c r="E218" s="466"/>
      <c r="F218" s="466"/>
      <c r="G218" s="466"/>
      <c r="H218" s="466"/>
      <c r="I218" s="466"/>
      <c r="J218" s="466"/>
      <c r="K218" s="466"/>
      <c r="L218" s="466"/>
      <c r="M218" s="466"/>
      <c r="N218" s="466"/>
      <c r="O218" s="466"/>
      <c r="P218" s="466"/>
      <c r="Q218" s="466"/>
      <c r="R218" s="466"/>
      <c r="S218" s="90">
        <f>SUM(S207:S217)</f>
        <v>395</v>
      </c>
      <c r="T218" s="467">
        <f>((S218)/TAEj!B20)</f>
        <v>3.2973692469546588E-2</v>
      </c>
      <c r="U218" s="467"/>
      <c r="V218" s="467"/>
      <c r="W218" s="467"/>
      <c r="X218" s="468"/>
      <c r="Y218" s="468"/>
      <c r="Z218" s="6"/>
    </row>
    <row r="219" spans="1:26" ht="14.25" customHeight="1" x14ac:dyDescent="0.2">
      <c r="A219" s="3"/>
      <c r="B219" s="3"/>
      <c r="C219" s="3"/>
      <c r="D219" s="469" t="s">
        <v>249</v>
      </c>
      <c r="E219" s="469"/>
      <c r="F219" s="469"/>
      <c r="G219" s="469"/>
      <c r="H219" s="469"/>
      <c r="I219" s="469"/>
      <c r="J219" s="469"/>
      <c r="K219" s="469"/>
      <c r="L219" s="469"/>
      <c r="M219" s="469"/>
      <c r="N219" s="469"/>
      <c r="O219" s="469"/>
      <c r="P219" s="469"/>
      <c r="Q219" s="469"/>
      <c r="R219" s="469"/>
      <c r="S219" s="470">
        <f>SUM(Y207:Y217)/9</f>
        <v>1.2333333333333334</v>
      </c>
      <c r="T219" s="470"/>
      <c r="U219" s="470"/>
      <c r="V219" s="470"/>
      <c r="W219" s="470"/>
      <c r="X219" s="468"/>
      <c r="Y219" s="468"/>
      <c r="Z219" s="6"/>
    </row>
    <row r="220" spans="1:26" ht="2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457"/>
      <c r="U220" s="457"/>
      <c r="V220" s="457"/>
      <c r="W220" s="457"/>
      <c r="X220" s="457"/>
      <c r="Y220" s="457"/>
      <c r="Z220" s="6"/>
    </row>
    <row r="221" spans="1:26" ht="14.25" customHeight="1" x14ac:dyDescent="0.2">
      <c r="A221" s="3"/>
      <c r="B221" s="3"/>
      <c r="C221" s="3"/>
      <c r="D221" s="458" t="s">
        <v>250</v>
      </c>
      <c r="E221" s="458"/>
      <c r="F221" s="458"/>
      <c r="G221" s="458"/>
      <c r="H221" s="458"/>
      <c r="I221" s="458"/>
      <c r="J221" s="458"/>
      <c r="K221" s="458"/>
      <c r="L221" s="458"/>
      <c r="M221" s="458"/>
      <c r="N221" s="458"/>
      <c r="O221" s="458"/>
      <c r="P221" s="458"/>
      <c r="Q221" s="458"/>
      <c r="R221" s="458"/>
      <c r="S221" s="56">
        <f>SUM(S12:S18,S33:S36,S57:S63,S78:S83,S105:S112,S129:S130,S144,S161:S193)</f>
        <v>11584.246799999999</v>
      </c>
      <c r="T221" s="457"/>
      <c r="U221" s="457"/>
      <c r="V221" s="457"/>
      <c r="W221" s="457"/>
      <c r="X221" s="457"/>
      <c r="Y221" s="457"/>
      <c r="Z221" s="6"/>
    </row>
    <row r="222" spans="1:26" ht="14.25" customHeight="1" x14ac:dyDescent="0.2">
      <c r="A222" s="3"/>
      <c r="B222" s="3"/>
      <c r="C222" s="3"/>
      <c r="D222" s="459" t="s">
        <v>405</v>
      </c>
      <c r="E222" s="459"/>
      <c r="F222" s="459"/>
      <c r="G222" s="459"/>
      <c r="H222" s="459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57">
        <f>SUM(S96,S207,S209,S211,S212,S213,S214,S215,S216,S217)</f>
        <v>395</v>
      </c>
      <c r="T222" s="457"/>
      <c r="U222" s="457"/>
      <c r="V222" s="457"/>
      <c r="W222" s="457"/>
      <c r="X222" s="457"/>
      <c r="Y222" s="457"/>
      <c r="Z222" s="6"/>
    </row>
    <row r="223" spans="1:26" ht="14.25" customHeight="1" x14ac:dyDescent="0.2">
      <c r="A223" s="3"/>
      <c r="B223" s="3"/>
      <c r="C223" s="3"/>
      <c r="D223" s="460" t="s">
        <v>252</v>
      </c>
      <c r="E223" s="460"/>
      <c r="F223" s="460"/>
      <c r="G223" s="460"/>
      <c r="H223" s="460"/>
      <c r="I223" s="460"/>
      <c r="J223" s="460"/>
      <c r="K223" s="460"/>
      <c r="L223" s="460"/>
      <c r="M223" s="460"/>
      <c r="N223" s="460"/>
      <c r="O223" s="460"/>
      <c r="P223" s="460"/>
      <c r="Q223" s="460"/>
      <c r="R223" s="460"/>
      <c r="S223" s="210">
        <f>SUM(S221:S222)</f>
        <v>11979.246799999999</v>
      </c>
      <c r="T223" s="457"/>
      <c r="U223" s="457"/>
      <c r="V223" s="457"/>
      <c r="W223" s="457"/>
      <c r="X223" s="457"/>
      <c r="Y223" s="457"/>
      <c r="Z223" s="6"/>
    </row>
    <row r="224" spans="1:26" ht="14.25" customHeight="1" x14ac:dyDescent="0.2">
      <c r="A224" s="461"/>
      <c r="B224" s="461"/>
      <c r="C224" s="461"/>
      <c r="D224" s="459" t="s">
        <v>253</v>
      </c>
      <c r="E224" s="459"/>
      <c r="F224" s="459"/>
      <c r="G224" s="459"/>
      <c r="H224" s="459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56">
        <f>(X12+X14+X16+X18+X33+X34+X35+X36+X57+X58+X59+X60+X61+X62+X63+X78+X79+X80+X81+X83+X105+X106+X107+X109+X111+X129+X130+X144+X161+X162+X163+X164+X165+X167+X168+X169+X171+X172+X173+X174+X175+X178+X179+X180+X181+X182+X183+X184+X185+X186+X187+X189+X190+X191+X193)/56</f>
        <v>3.0357142857142856</v>
      </c>
      <c r="T224" s="457"/>
      <c r="U224" s="457"/>
      <c r="V224" s="457"/>
      <c r="W224" s="457"/>
      <c r="X224" s="457"/>
      <c r="Y224" s="457"/>
      <c r="Z224" s="6"/>
    </row>
    <row r="225" spans="1:26" ht="14.25" customHeight="1" x14ac:dyDescent="0.2">
      <c r="A225" s="461"/>
      <c r="B225" s="461"/>
      <c r="C225" s="461"/>
      <c r="D225" s="460" t="s">
        <v>254</v>
      </c>
      <c r="E225" s="460"/>
      <c r="F225" s="460"/>
      <c r="G225" s="460"/>
      <c r="H225" s="460"/>
      <c r="I225" s="460"/>
      <c r="J225" s="460"/>
      <c r="K225" s="460"/>
      <c r="L225" s="460"/>
      <c r="M225" s="460"/>
      <c r="N225" s="460"/>
      <c r="O225" s="460"/>
      <c r="P225" s="460"/>
      <c r="Q225" s="460"/>
      <c r="R225" s="460"/>
      <c r="S225" s="211">
        <f>(SUM(X207:X217)+(X95))/12</f>
        <v>3.3333333333333335</v>
      </c>
      <c r="T225" s="457"/>
      <c r="U225" s="457"/>
      <c r="V225" s="457"/>
      <c r="W225" s="457"/>
      <c r="X225" s="457"/>
      <c r="Y225" s="457"/>
      <c r="Z225" s="6"/>
    </row>
    <row r="226" spans="1:26" ht="14.25" customHeight="1" x14ac:dyDescent="0.2">
      <c r="A226" s="461"/>
      <c r="B226" s="461"/>
      <c r="C226" s="461"/>
      <c r="D226" s="462" t="s">
        <v>255</v>
      </c>
      <c r="E226" s="462"/>
      <c r="F226" s="462"/>
      <c r="G226" s="462"/>
      <c r="H226" s="462"/>
      <c r="I226" s="462"/>
      <c r="J226" s="462"/>
      <c r="K226" s="462"/>
      <c r="L226" s="462"/>
      <c r="M226" s="462"/>
      <c r="N226" s="462"/>
      <c r="O226" s="462"/>
      <c r="P226" s="462"/>
      <c r="Q226" s="462"/>
      <c r="R226" s="462"/>
      <c r="S226" s="213">
        <f>(S22+S40+S67+S87+S116+S134+S148+S197)/8</f>
        <v>12.796007177825686</v>
      </c>
      <c r="T226" s="457"/>
      <c r="U226" s="457"/>
      <c r="V226" s="457"/>
      <c r="W226" s="457"/>
      <c r="X226" s="457"/>
      <c r="Y226" s="457"/>
      <c r="Z226" s="6"/>
    </row>
    <row r="227" spans="1:26" ht="14.25" customHeight="1" x14ac:dyDescent="0.2">
      <c r="A227" s="461"/>
      <c r="B227" s="461"/>
      <c r="C227" s="461"/>
      <c r="D227" s="463" t="s">
        <v>256</v>
      </c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213">
        <f>(S24+S42+S69+S89+S118+S136+S150+S199)</f>
        <v>17.549551869015978</v>
      </c>
      <c r="T227" s="457"/>
      <c r="U227" s="457"/>
      <c r="V227" s="457"/>
      <c r="W227" s="457"/>
      <c r="X227" s="457"/>
      <c r="Y227" s="457"/>
      <c r="Z227" s="6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5"/>
      <c r="Z228" s="6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6"/>
    </row>
    <row r="230" spans="1:26" x14ac:dyDescent="0.2">
      <c r="A230" s="4"/>
      <c r="B230" s="4"/>
      <c r="C230" s="4"/>
      <c r="D230" s="456" t="s">
        <v>257</v>
      </c>
      <c r="E230" s="456"/>
      <c r="F230" s="456"/>
      <c r="G230" s="456"/>
      <c r="H230" s="456"/>
      <c r="I230" s="456"/>
      <c r="J230" s="456"/>
      <c r="K230" s="456"/>
      <c r="L230" s="456"/>
      <c r="M230" s="456"/>
      <c r="N230" s="456"/>
      <c r="O230" s="456"/>
      <c r="P230" s="456"/>
      <c r="Q230" s="456"/>
      <c r="R230" s="456"/>
      <c r="S230" s="4"/>
      <c r="T230" s="4"/>
      <c r="U230" s="4"/>
      <c r="V230" s="4"/>
      <c r="W230" s="4"/>
      <c r="X230" s="4"/>
      <c r="Y230" s="5"/>
      <c r="Z230" s="6"/>
    </row>
    <row r="231" spans="1:26" ht="13.5" customHeight="1" thickBot="1" x14ac:dyDescent="0.25">
      <c r="A231" s="4"/>
      <c r="B231" s="4"/>
      <c r="C231" s="4"/>
      <c r="D231" s="214" t="s">
        <v>258</v>
      </c>
      <c r="E231" s="215"/>
      <c r="F231" s="453" t="s">
        <v>259</v>
      </c>
      <c r="G231" s="453"/>
      <c r="H231" s="453"/>
      <c r="I231" s="453"/>
      <c r="J231" s="453"/>
      <c r="K231" s="453"/>
      <c r="L231" s="453"/>
      <c r="M231" s="453"/>
      <c r="N231" s="453"/>
      <c r="O231" s="453"/>
      <c r="P231" s="453"/>
      <c r="Q231" s="453"/>
      <c r="R231" s="453"/>
      <c r="S231" s="4"/>
      <c r="T231" s="4"/>
      <c r="U231" s="4"/>
      <c r="V231" s="4"/>
      <c r="W231" s="4"/>
      <c r="X231" s="4"/>
      <c r="Y231" s="5"/>
      <c r="Z231" s="6"/>
    </row>
    <row r="232" spans="1:26" s="41" customFormat="1" ht="13.5" customHeight="1" thickBot="1" x14ac:dyDescent="0.25">
      <c r="A232" s="4"/>
      <c r="B232" s="4"/>
      <c r="C232" s="4"/>
      <c r="D232" s="214" t="s">
        <v>260</v>
      </c>
      <c r="E232" s="215"/>
      <c r="F232" s="453" t="s">
        <v>261</v>
      </c>
      <c r="G232" s="453"/>
      <c r="H232" s="453"/>
      <c r="I232" s="453"/>
      <c r="J232" s="453"/>
      <c r="K232" s="453"/>
      <c r="L232" s="453"/>
      <c r="M232" s="453"/>
      <c r="N232" s="453"/>
      <c r="O232" s="453"/>
      <c r="P232" s="453"/>
      <c r="Q232" s="453"/>
      <c r="R232" s="453"/>
      <c r="S232" s="4"/>
      <c r="T232" s="4"/>
      <c r="U232" s="4"/>
      <c r="V232" s="4"/>
      <c r="W232" s="4"/>
      <c r="X232" s="4"/>
      <c r="Y232" s="5"/>
      <c r="Z232" s="6"/>
    </row>
    <row r="233" spans="1:26" ht="13.5" customHeight="1" thickBot="1" x14ac:dyDescent="0.25">
      <c r="A233" s="4"/>
      <c r="B233" s="4"/>
      <c r="C233" s="4"/>
      <c r="D233" s="214" t="s">
        <v>406</v>
      </c>
      <c r="E233" s="215"/>
      <c r="F233" s="453" t="s">
        <v>407</v>
      </c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453"/>
      <c r="R233" s="453"/>
      <c r="S233" s="4"/>
      <c r="T233" s="4"/>
      <c r="U233" s="4"/>
      <c r="V233" s="4"/>
      <c r="W233" s="4"/>
      <c r="X233" s="4"/>
      <c r="Y233" s="5"/>
      <c r="Z233" s="6"/>
    </row>
    <row r="234" spans="1:26" ht="13.5" customHeight="1" x14ac:dyDescent="0.2">
      <c r="A234" s="4"/>
      <c r="B234" s="4"/>
      <c r="C234" s="4"/>
      <c r="D234" s="216" t="s">
        <v>262</v>
      </c>
      <c r="E234" s="217"/>
      <c r="F234" s="453" t="s">
        <v>263</v>
      </c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453"/>
      <c r="R234" s="453"/>
      <c r="S234" s="4"/>
      <c r="T234" s="4"/>
      <c r="U234" s="4"/>
      <c r="V234" s="4"/>
      <c r="W234" s="4"/>
      <c r="X234" s="4"/>
      <c r="Y234" s="5"/>
      <c r="Z234" s="6"/>
    </row>
    <row r="235" spans="1:26" ht="13.5" customHeight="1" x14ac:dyDescent="0.2">
      <c r="A235" s="4"/>
      <c r="B235" s="4"/>
      <c r="C235" s="4"/>
      <c r="D235" s="218" t="s">
        <v>264</v>
      </c>
      <c r="E235" s="219"/>
      <c r="F235" s="453" t="s">
        <v>265</v>
      </c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"/>
      <c r="T235" s="4"/>
      <c r="U235" s="4"/>
      <c r="V235" s="4"/>
      <c r="W235" s="4"/>
      <c r="X235" s="4"/>
      <c r="Y235" s="5"/>
      <c r="Z235" s="6"/>
    </row>
    <row r="236" spans="1:26" ht="13.5" customHeight="1" x14ac:dyDescent="0.2">
      <c r="A236" s="4"/>
      <c r="B236" s="4"/>
      <c r="C236" s="4"/>
      <c r="D236" s="214" t="s">
        <v>266</v>
      </c>
      <c r="E236" s="220"/>
      <c r="F236" s="453" t="s">
        <v>267</v>
      </c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"/>
      <c r="T236" s="4"/>
      <c r="U236" s="4"/>
      <c r="V236" s="4"/>
      <c r="W236" s="4"/>
      <c r="X236" s="4"/>
      <c r="Y236" s="5"/>
      <c r="Z236" s="6"/>
    </row>
    <row r="237" spans="1:26" ht="13.5" customHeight="1" x14ac:dyDescent="0.2">
      <c r="A237" s="4"/>
      <c r="B237" s="4"/>
      <c r="C237" s="4"/>
      <c r="D237" s="221" t="s">
        <v>268</v>
      </c>
      <c r="E237" s="222"/>
      <c r="F237" s="453" t="s">
        <v>269</v>
      </c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  <c r="S237" s="4"/>
      <c r="T237" s="4"/>
      <c r="U237" s="4"/>
      <c r="V237" s="4"/>
      <c r="W237" s="4"/>
      <c r="X237" s="4"/>
      <c r="Y237" s="5"/>
      <c r="Z237" s="6"/>
    </row>
    <row r="238" spans="1:26" ht="13.5" customHeight="1" x14ac:dyDescent="0.2">
      <c r="A238" s="4"/>
      <c r="B238" s="4"/>
      <c r="C238" s="4"/>
      <c r="D238" s="223" t="s">
        <v>270</v>
      </c>
      <c r="E238" s="224"/>
      <c r="F238" s="453" t="s">
        <v>271</v>
      </c>
      <c r="G238" s="453"/>
      <c r="H238" s="453"/>
      <c r="I238" s="453"/>
      <c r="J238" s="453"/>
      <c r="K238" s="453"/>
      <c r="L238" s="453"/>
      <c r="M238" s="453"/>
      <c r="N238" s="453"/>
      <c r="O238" s="453"/>
      <c r="P238" s="453"/>
      <c r="Q238" s="453"/>
      <c r="R238" s="453"/>
      <c r="S238" s="4"/>
      <c r="T238" s="4"/>
      <c r="U238" s="4"/>
      <c r="V238" s="4"/>
      <c r="W238" s="4"/>
      <c r="X238" s="4"/>
      <c r="Y238" s="5"/>
      <c r="Z238" s="6"/>
    </row>
    <row r="239" spans="1:26" ht="13.5" customHeight="1" x14ac:dyDescent="0.2">
      <c r="A239" s="4"/>
      <c r="B239" s="4"/>
      <c r="C239" s="4"/>
      <c r="D239" s="225" t="s">
        <v>272</v>
      </c>
      <c r="E239" s="226"/>
      <c r="F239" s="453" t="s">
        <v>273</v>
      </c>
      <c r="G239" s="453"/>
      <c r="H239" s="453"/>
      <c r="I239" s="453"/>
      <c r="J239" s="453"/>
      <c r="K239" s="453"/>
      <c r="L239" s="453"/>
      <c r="M239" s="453"/>
      <c r="N239" s="453"/>
      <c r="O239" s="453"/>
      <c r="P239" s="453"/>
      <c r="Q239" s="453"/>
      <c r="R239" s="453"/>
      <c r="S239" s="4"/>
      <c r="T239" s="4"/>
      <c r="U239" s="4"/>
      <c r="V239" s="4"/>
      <c r="W239" s="4"/>
      <c r="X239" s="4"/>
      <c r="Y239" s="5"/>
      <c r="Z239" s="6"/>
    </row>
    <row r="240" spans="1:26" ht="13.5" customHeight="1" x14ac:dyDescent="0.2">
      <c r="A240" s="4"/>
      <c r="B240" s="4"/>
      <c r="C240" s="4"/>
      <c r="D240" s="227" t="s">
        <v>274</v>
      </c>
      <c r="E240" s="228"/>
      <c r="F240" s="453" t="s">
        <v>275</v>
      </c>
      <c r="G240" s="453"/>
      <c r="H240" s="453"/>
      <c r="I240" s="453"/>
      <c r="J240" s="453"/>
      <c r="K240" s="453"/>
      <c r="L240" s="453"/>
      <c r="M240" s="453"/>
      <c r="N240" s="453"/>
      <c r="O240" s="453"/>
      <c r="P240" s="453"/>
      <c r="Q240" s="453"/>
      <c r="R240" s="453"/>
      <c r="S240" s="4"/>
      <c r="T240" s="4"/>
      <c r="U240" s="4"/>
      <c r="V240" s="4"/>
      <c r="W240" s="4"/>
      <c r="X240" s="4"/>
      <c r="Y240" s="5"/>
      <c r="Z240" s="6"/>
    </row>
    <row r="241" spans="1:26" x14ac:dyDescent="0.2">
      <c r="A241" s="4"/>
      <c r="B241" s="4"/>
      <c r="C241" s="4"/>
      <c r="D241" s="229" t="s">
        <v>276</v>
      </c>
      <c r="E241" s="230"/>
      <c r="F241" s="455" t="s">
        <v>277</v>
      </c>
      <c r="G241" s="455"/>
      <c r="H241" s="455"/>
      <c r="I241" s="455"/>
      <c r="J241" s="455"/>
      <c r="K241" s="455"/>
      <c r="L241" s="455"/>
      <c r="M241" s="455"/>
      <c r="N241" s="455"/>
      <c r="O241" s="455"/>
      <c r="P241" s="455"/>
      <c r="Q241" s="455"/>
      <c r="R241" s="455"/>
      <c r="S241" s="4"/>
      <c r="T241" s="4"/>
      <c r="U241" s="4"/>
      <c r="V241" s="4"/>
      <c r="W241" s="4"/>
      <c r="X241" s="4"/>
      <c r="Y241" s="5"/>
      <c r="Z241" s="6"/>
    </row>
    <row r="242" spans="1:26" x14ac:dyDescent="0.2">
      <c r="A242" s="4"/>
      <c r="B242" s="4"/>
      <c r="C242" s="4"/>
      <c r="D242" s="231" t="s">
        <v>278</v>
      </c>
      <c r="E242" s="232"/>
      <c r="F242" s="455" t="s">
        <v>279</v>
      </c>
      <c r="G242" s="455"/>
      <c r="H242" s="455"/>
      <c r="I242" s="455"/>
      <c r="J242" s="455"/>
      <c r="K242" s="455"/>
      <c r="L242" s="455"/>
      <c r="M242" s="455"/>
      <c r="N242" s="455"/>
      <c r="O242" s="455"/>
      <c r="P242" s="455"/>
      <c r="Q242" s="455"/>
      <c r="R242" s="455"/>
      <c r="S242" s="4"/>
      <c r="T242" s="4"/>
      <c r="U242" s="4"/>
      <c r="V242" s="4"/>
      <c r="W242" s="4"/>
      <c r="X242" s="4"/>
      <c r="Y242" s="5"/>
      <c r="Z242" s="6"/>
    </row>
    <row r="243" spans="1:26" ht="14.25" customHeight="1" x14ac:dyDescent="0.2">
      <c r="A243" s="4"/>
      <c r="B243" s="4"/>
      <c r="C243" s="4"/>
      <c r="D243" s="233" t="s">
        <v>280</v>
      </c>
      <c r="E243" s="234"/>
      <c r="F243" s="455" t="s">
        <v>281</v>
      </c>
      <c r="G243" s="455"/>
      <c r="H243" s="455"/>
      <c r="I243" s="455"/>
      <c r="J243" s="455"/>
      <c r="K243" s="455"/>
      <c r="L243" s="455"/>
      <c r="M243" s="455"/>
      <c r="N243" s="455"/>
      <c r="O243" s="455"/>
      <c r="P243" s="455"/>
      <c r="Q243" s="455"/>
      <c r="R243" s="455"/>
      <c r="S243" s="4"/>
      <c r="T243" s="4"/>
      <c r="U243" s="4"/>
      <c r="V243" s="4"/>
      <c r="W243" s="4"/>
      <c r="X243" s="4"/>
      <c r="Y243" s="5"/>
      <c r="Z243" s="6"/>
    </row>
    <row r="244" spans="1:26" ht="14.25" customHeight="1" x14ac:dyDescent="0.2">
      <c r="A244" s="4"/>
      <c r="B244" s="4"/>
      <c r="C244" s="4"/>
      <c r="D244" s="231" t="s">
        <v>282</v>
      </c>
      <c r="E244" s="232"/>
      <c r="F244" s="455" t="s">
        <v>433</v>
      </c>
      <c r="G244" s="455"/>
      <c r="H244" s="455"/>
      <c r="I244" s="455"/>
      <c r="J244" s="455"/>
      <c r="K244" s="455"/>
      <c r="L244" s="455"/>
      <c r="M244" s="455"/>
      <c r="N244" s="455"/>
      <c r="O244" s="455"/>
      <c r="P244" s="455"/>
      <c r="Q244" s="455"/>
      <c r="R244" s="455"/>
      <c r="S244" s="4"/>
      <c r="T244" s="4"/>
      <c r="U244" s="4"/>
      <c r="V244" s="4"/>
      <c r="W244" s="4"/>
      <c r="X244" s="4"/>
      <c r="Y244" s="5"/>
      <c r="Z244" s="6"/>
    </row>
    <row r="245" spans="1:26" ht="14.25" customHeight="1" x14ac:dyDescent="0.2">
      <c r="A245" s="4"/>
      <c r="B245" s="4"/>
      <c r="C245" s="4"/>
      <c r="D245" s="233" t="s">
        <v>283</v>
      </c>
      <c r="E245" s="234"/>
      <c r="F245" s="455" t="s">
        <v>284</v>
      </c>
      <c r="G245" s="455"/>
      <c r="H245" s="455"/>
      <c r="I245" s="455"/>
      <c r="J245" s="455"/>
      <c r="K245" s="455"/>
      <c r="L245" s="455"/>
      <c r="M245" s="455"/>
      <c r="N245" s="455"/>
      <c r="O245" s="455"/>
      <c r="P245" s="455"/>
      <c r="Q245" s="455"/>
      <c r="R245" s="455"/>
      <c r="S245" s="4"/>
      <c r="T245" s="4"/>
      <c r="U245" s="4"/>
      <c r="V245" s="4"/>
      <c r="W245" s="4"/>
      <c r="X245" s="4"/>
      <c r="Y245" s="5"/>
      <c r="Z245" s="6"/>
    </row>
    <row r="246" spans="1:26" ht="14.25" customHeight="1" x14ac:dyDescent="0.2">
      <c r="A246" s="4"/>
      <c r="B246" s="4"/>
      <c r="C246" s="4"/>
      <c r="D246" s="231" t="s">
        <v>285</v>
      </c>
      <c r="E246" s="232"/>
      <c r="F246" s="455" t="s">
        <v>286</v>
      </c>
      <c r="G246" s="455"/>
      <c r="H246" s="455"/>
      <c r="I246" s="455"/>
      <c r="J246" s="455"/>
      <c r="K246" s="455"/>
      <c r="L246" s="455"/>
      <c r="M246" s="455"/>
      <c r="N246" s="455"/>
      <c r="O246" s="455"/>
      <c r="P246" s="455"/>
      <c r="Q246" s="455"/>
      <c r="R246" s="455"/>
      <c r="S246" s="4"/>
      <c r="T246" s="4"/>
      <c r="U246" s="4"/>
      <c r="V246" s="4"/>
      <c r="W246" s="4"/>
      <c r="X246" s="4"/>
      <c r="Y246" s="5"/>
      <c r="Z246" s="6"/>
    </row>
    <row r="247" spans="1:26" ht="13.5" customHeight="1" x14ac:dyDescent="0.2">
      <c r="A247" s="4"/>
      <c r="B247" s="4"/>
      <c r="C247" s="4"/>
      <c r="D247" s="235" t="s">
        <v>287</v>
      </c>
      <c r="E247" s="236"/>
      <c r="F247" s="453" t="s">
        <v>288</v>
      </c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3"/>
      <c r="R247" s="453"/>
      <c r="S247" s="4"/>
      <c r="T247" s="4"/>
      <c r="U247" s="4"/>
      <c r="V247" s="4"/>
      <c r="W247" s="4"/>
      <c r="X247" s="4"/>
      <c r="Y247" s="5"/>
      <c r="Z247" s="6"/>
    </row>
    <row r="248" spans="1:26" ht="13.5" customHeight="1" x14ac:dyDescent="0.2">
      <c r="A248" s="4"/>
      <c r="B248" s="4"/>
      <c r="C248" s="4"/>
      <c r="D248" s="231" t="s">
        <v>289</v>
      </c>
      <c r="E248" s="232"/>
      <c r="F248" s="453" t="s">
        <v>290</v>
      </c>
      <c r="G248" s="453"/>
      <c r="H248" s="453"/>
      <c r="I248" s="453"/>
      <c r="J248" s="453"/>
      <c r="K248" s="453"/>
      <c r="L248" s="453"/>
      <c r="M248" s="453"/>
      <c r="N248" s="453"/>
      <c r="O248" s="453"/>
      <c r="P248" s="453"/>
      <c r="Q248" s="453"/>
      <c r="R248" s="453"/>
      <c r="S248" s="4"/>
      <c r="T248" s="4"/>
      <c r="U248" s="4"/>
      <c r="V248" s="4"/>
      <c r="W248" s="4"/>
      <c r="X248" s="4"/>
      <c r="Y248" s="5"/>
      <c r="Z248" s="6"/>
    </row>
    <row r="249" spans="1:26" ht="13.5" customHeight="1" x14ac:dyDescent="0.2">
      <c r="A249" s="4"/>
      <c r="B249" s="4"/>
      <c r="C249" s="4"/>
      <c r="D249" s="233" t="s">
        <v>252</v>
      </c>
      <c r="E249" s="234"/>
      <c r="F249" s="453" t="s">
        <v>291</v>
      </c>
      <c r="G249" s="453"/>
      <c r="H249" s="453"/>
      <c r="I249" s="453"/>
      <c r="J249" s="453"/>
      <c r="K249" s="453"/>
      <c r="L249" s="453"/>
      <c r="M249" s="453"/>
      <c r="N249" s="453"/>
      <c r="O249" s="453"/>
      <c r="P249" s="453"/>
      <c r="Q249" s="453"/>
      <c r="R249" s="453"/>
      <c r="S249" s="4"/>
      <c r="T249" s="4"/>
      <c r="U249" s="4"/>
      <c r="V249" s="4"/>
      <c r="W249" s="4"/>
      <c r="X249" s="4"/>
      <c r="Y249" s="5"/>
      <c r="Z249" s="6"/>
    </row>
    <row r="250" spans="1:26" ht="13.5" customHeight="1" x14ac:dyDescent="0.2">
      <c r="A250" s="4"/>
      <c r="B250" s="4"/>
      <c r="C250" s="4"/>
      <c r="D250" s="231" t="s">
        <v>253</v>
      </c>
      <c r="E250" s="232"/>
      <c r="F250" s="453" t="s">
        <v>292</v>
      </c>
      <c r="G250" s="453"/>
      <c r="H250" s="453"/>
      <c r="I250" s="453"/>
      <c r="J250" s="453"/>
      <c r="K250" s="453"/>
      <c r="L250" s="453"/>
      <c r="M250" s="453"/>
      <c r="N250" s="453"/>
      <c r="O250" s="453"/>
      <c r="P250" s="453"/>
      <c r="Q250" s="453"/>
      <c r="R250" s="453"/>
      <c r="S250" s="4"/>
      <c r="T250" s="4"/>
      <c r="U250" s="4"/>
      <c r="V250" s="4"/>
      <c r="W250" s="4"/>
      <c r="X250" s="4"/>
      <c r="Y250" s="5"/>
      <c r="Z250" s="6"/>
    </row>
    <row r="251" spans="1:26" ht="13.5" customHeight="1" x14ac:dyDescent="0.2">
      <c r="A251" s="4"/>
      <c r="B251" s="4"/>
      <c r="C251" s="4"/>
      <c r="D251" s="233" t="s">
        <v>254</v>
      </c>
      <c r="E251" s="234"/>
      <c r="F251" s="453" t="s">
        <v>293</v>
      </c>
      <c r="G251" s="453"/>
      <c r="H251" s="453"/>
      <c r="I251" s="453"/>
      <c r="J251" s="453"/>
      <c r="K251" s="453"/>
      <c r="L251" s="453"/>
      <c r="M251" s="453"/>
      <c r="N251" s="453"/>
      <c r="O251" s="453"/>
      <c r="P251" s="453"/>
      <c r="Q251" s="453"/>
      <c r="R251" s="453"/>
      <c r="S251" s="4"/>
      <c r="T251" s="4"/>
      <c r="U251" s="4"/>
      <c r="V251" s="4"/>
      <c r="W251" s="4"/>
      <c r="X251" s="4"/>
      <c r="Y251" s="5"/>
      <c r="Z251" s="6"/>
    </row>
    <row r="252" spans="1:26" ht="13.5" customHeight="1" x14ac:dyDescent="0.2">
      <c r="A252" s="4"/>
      <c r="B252" s="4"/>
      <c r="C252" s="4"/>
      <c r="D252" s="237" t="s">
        <v>255</v>
      </c>
      <c r="E252" s="238"/>
      <c r="F252" s="453" t="s">
        <v>294</v>
      </c>
      <c r="G252" s="453"/>
      <c r="H252" s="453"/>
      <c r="I252" s="453"/>
      <c r="J252" s="453"/>
      <c r="K252" s="453"/>
      <c r="L252" s="453"/>
      <c r="M252" s="453"/>
      <c r="N252" s="453"/>
      <c r="O252" s="453"/>
      <c r="P252" s="453"/>
      <c r="Q252" s="453"/>
      <c r="R252" s="453"/>
      <c r="S252" s="4"/>
      <c r="T252" s="4"/>
      <c r="U252" s="4"/>
      <c r="V252" s="4"/>
      <c r="W252" s="4"/>
      <c r="X252" s="4"/>
      <c r="Y252" s="5"/>
      <c r="Z252" s="6"/>
    </row>
    <row r="253" spans="1:26" ht="13.5" customHeight="1" x14ac:dyDescent="0.2">
      <c r="A253" s="4"/>
      <c r="B253" s="4"/>
      <c r="C253" s="4"/>
      <c r="D253" s="239" t="s">
        <v>256</v>
      </c>
      <c r="E253" s="240"/>
      <c r="F253" s="454" t="s">
        <v>295</v>
      </c>
      <c r="G253" s="454"/>
      <c r="H253" s="454"/>
      <c r="I253" s="454"/>
      <c r="J253" s="454"/>
      <c r="K253" s="454"/>
      <c r="L253" s="454"/>
      <c r="M253" s="454"/>
      <c r="N253" s="454"/>
      <c r="O253" s="454"/>
      <c r="P253" s="454"/>
      <c r="Q253" s="454"/>
      <c r="R253" s="454"/>
      <c r="S253" s="4"/>
      <c r="T253" s="4"/>
      <c r="U253" s="4"/>
      <c r="V253" s="4"/>
      <c r="W253" s="4"/>
      <c r="X253" s="4"/>
      <c r="Y253" s="5"/>
      <c r="Z253" s="6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5"/>
      <c r="Z254" s="6"/>
    </row>
  </sheetData>
  <mergeCells count="309">
    <mergeCell ref="T12:W12"/>
    <mergeCell ref="T13:W13"/>
    <mergeCell ref="T14:W14"/>
    <mergeCell ref="T15:W15"/>
    <mergeCell ref="T16:W16"/>
    <mergeCell ref="T17:W17"/>
    <mergeCell ref="A2:L2"/>
    <mergeCell ref="A3:M3"/>
    <mergeCell ref="A5:L5"/>
    <mergeCell ref="R5:W5"/>
    <mergeCell ref="C7:J7"/>
    <mergeCell ref="D9:G9"/>
    <mergeCell ref="T11:W11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T18:W18"/>
    <mergeCell ref="D19:R19"/>
    <mergeCell ref="T19:W19"/>
    <mergeCell ref="X19:Z20"/>
    <mergeCell ref="D20:R20"/>
    <mergeCell ref="T20:W20"/>
    <mergeCell ref="D21:R21"/>
    <mergeCell ref="T21:W21"/>
    <mergeCell ref="D22:R22"/>
    <mergeCell ref="T22:W22"/>
    <mergeCell ref="D23:R23"/>
    <mergeCell ref="T23:Z24"/>
    <mergeCell ref="D24:R24"/>
    <mergeCell ref="D25:R25"/>
    <mergeCell ref="X25:Z31"/>
    <mergeCell ref="D26:R26"/>
    <mergeCell ref="D27:R27"/>
    <mergeCell ref="C28:T28"/>
    <mergeCell ref="D30:V30"/>
    <mergeCell ref="T32:W32"/>
    <mergeCell ref="T33:W33"/>
    <mergeCell ref="T34:W34"/>
    <mergeCell ref="T35:W35"/>
    <mergeCell ref="T36:W36"/>
    <mergeCell ref="D37:R37"/>
    <mergeCell ref="T37:W37"/>
    <mergeCell ref="X37:Z38"/>
    <mergeCell ref="D38:R38"/>
    <mergeCell ref="T38:W38"/>
    <mergeCell ref="D39:R39"/>
    <mergeCell ref="T39:W39"/>
    <mergeCell ref="D40:R40"/>
    <mergeCell ref="T40:W40"/>
    <mergeCell ref="D41:R41"/>
    <mergeCell ref="T41:Z42"/>
    <mergeCell ref="D42:R42"/>
    <mergeCell ref="D43:R43"/>
    <mergeCell ref="D44:R44"/>
    <mergeCell ref="D45:R45"/>
    <mergeCell ref="D46:V46"/>
    <mergeCell ref="X46:Z47"/>
    <mergeCell ref="T48:W48"/>
    <mergeCell ref="T49:W49"/>
    <mergeCell ref="D50:R50"/>
    <mergeCell ref="T50:W50"/>
    <mergeCell ref="X50:Z51"/>
    <mergeCell ref="D51:R51"/>
    <mergeCell ref="S51:W51"/>
    <mergeCell ref="X52:Z55"/>
    <mergeCell ref="D53:U53"/>
    <mergeCell ref="D54:V54"/>
    <mergeCell ref="T56:W56"/>
    <mergeCell ref="T57:W57"/>
    <mergeCell ref="T58:W58"/>
    <mergeCell ref="T59:W59"/>
    <mergeCell ref="T60:W60"/>
    <mergeCell ref="T61:W61"/>
    <mergeCell ref="T62:W62"/>
    <mergeCell ref="T63:W63"/>
    <mergeCell ref="D64:R64"/>
    <mergeCell ref="T64:W64"/>
    <mergeCell ref="X64:Z65"/>
    <mergeCell ref="D65:R65"/>
    <mergeCell ref="T65:W65"/>
    <mergeCell ref="D66:R66"/>
    <mergeCell ref="T66:W66"/>
    <mergeCell ref="D67:R67"/>
    <mergeCell ref="T67:W67"/>
    <mergeCell ref="D68:R68"/>
    <mergeCell ref="T68:Z69"/>
    <mergeCell ref="D69:R69"/>
    <mergeCell ref="D70:R70"/>
    <mergeCell ref="D71:R71"/>
    <mergeCell ref="D72:R72"/>
    <mergeCell ref="C73:T73"/>
    <mergeCell ref="X73:Z76"/>
    <mergeCell ref="D75:V75"/>
    <mergeCell ref="T77:W77"/>
    <mergeCell ref="T78:W78"/>
    <mergeCell ref="T79:W79"/>
    <mergeCell ref="T80:W80"/>
    <mergeCell ref="T81:W81"/>
    <mergeCell ref="T83:W83"/>
    <mergeCell ref="D84:R84"/>
    <mergeCell ref="T84:W84"/>
    <mergeCell ref="X84:Z85"/>
    <mergeCell ref="D85:R85"/>
    <mergeCell ref="T85:W85"/>
    <mergeCell ref="T82:W82"/>
    <mergeCell ref="D82:E83"/>
    <mergeCell ref="D86:R86"/>
    <mergeCell ref="T86:W86"/>
    <mergeCell ref="D87:R87"/>
    <mergeCell ref="T87:W87"/>
    <mergeCell ref="D88:R88"/>
    <mergeCell ref="T88:Z89"/>
    <mergeCell ref="D89:R89"/>
    <mergeCell ref="D90:R90"/>
    <mergeCell ref="D91:R91"/>
    <mergeCell ref="D92:R92"/>
    <mergeCell ref="D93:V93"/>
    <mergeCell ref="T94:W94"/>
    <mergeCell ref="T95:W95"/>
    <mergeCell ref="D96:R96"/>
    <mergeCell ref="T96:W96"/>
    <mergeCell ref="X96:Z97"/>
    <mergeCell ref="D97:R97"/>
    <mergeCell ref="S97:W97"/>
    <mergeCell ref="X109:X110"/>
    <mergeCell ref="Y109:Y110"/>
    <mergeCell ref="Z109:Z110"/>
    <mergeCell ref="X111:X112"/>
    <mergeCell ref="Y111:Y112"/>
    <mergeCell ref="Z111:Z112"/>
    <mergeCell ref="X99:Z103"/>
    <mergeCell ref="C100:T100"/>
    <mergeCell ref="D102:V102"/>
    <mergeCell ref="T104:W104"/>
    <mergeCell ref="T105:W105"/>
    <mergeCell ref="T106:W106"/>
    <mergeCell ref="X107:X108"/>
    <mergeCell ref="Y107:Y108"/>
    <mergeCell ref="Z107:Z108"/>
    <mergeCell ref="T111:W111"/>
    <mergeCell ref="T109:W109"/>
    <mergeCell ref="T107:W107"/>
    <mergeCell ref="T108:W108"/>
    <mergeCell ref="T110:W110"/>
    <mergeCell ref="T112:W112"/>
    <mergeCell ref="D113:R113"/>
    <mergeCell ref="T113:W113"/>
    <mergeCell ref="X113:Z114"/>
    <mergeCell ref="D114:R114"/>
    <mergeCell ref="T114:W114"/>
    <mergeCell ref="D115:R115"/>
    <mergeCell ref="T115:W115"/>
    <mergeCell ref="D116:R116"/>
    <mergeCell ref="T116:W116"/>
    <mergeCell ref="D117:R117"/>
    <mergeCell ref="D118:R118"/>
    <mergeCell ref="D119:R119"/>
    <mergeCell ref="D120:R120"/>
    <mergeCell ref="D121:R121"/>
    <mergeCell ref="C124:T124"/>
    <mergeCell ref="X124:Z127"/>
    <mergeCell ref="D126:V126"/>
    <mergeCell ref="T128:W128"/>
    <mergeCell ref="T129:W129"/>
    <mergeCell ref="T130:W130"/>
    <mergeCell ref="D131:R131"/>
    <mergeCell ref="T131:W131"/>
    <mergeCell ref="D132:R132"/>
    <mergeCell ref="T132:W132"/>
    <mergeCell ref="D133:R133"/>
    <mergeCell ref="T133:W133"/>
    <mergeCell ref="D134:R134"/>
    <mergeCell ref="T134:W134"/>
    <mergeCell ref="D135:R135"/>
    <mergeCell ref="T135:Z136"/>
    <mergeCell ref="D136:R136"/>
    <mergeCell ref="D137:R137"/>
    <mergeCell ref="D138:R138"/>
    <mergeCell ref="D139:R139"/>
    <mergeCell ref="D140:U140"/>
    <mergeCell ref="X140:Z142"/>
    <mergeCell ref="D141:W141"/>
    <mergeCell ref="T143:W143"/>
    <mergeCell ref="T144:W144"/>
    <mergeCell ref="D145:R145"/>
    <mergeCell ref="T145:W145"/>
    <mergeCell ref="D146:R146"/>
    <mergeCell ref="T146:W146"/>
    <mergeCell ref="D147:R147"/>
    <mergeCell ref="T147:W147"/>
    <mergeCell ref="D148:R148"/>
    <mergeCell ref="T148:W148"/>
    <mergeCell ref="D149:R149"/>
    <mergeCell ref="T149:Z154"/>
    <mergeCell ref="D150:R150"/>
    <mergeCell ref="D151:R151"/>
    <mergeCell ref="D152:R152"/>
    <mergeCell ref="D153:R153"/>
    <mergeCell ref="C155:T155"/>
    <mergeCell ref="X155:Z158"/>
    <mergeCell ref="D157:V157"/>
    <mergeCell ref="T159:W159"/>
    <mergeCell ref="D160:F160"/>
    <mergeCell ref="T161:W161"/>
    <mergeCell ref="T162:W162"/>
    <mergeCell ref="T163:W163"/>
    <mergeCell ref="T164:W164"/>
    <mergeCell ref="T165:W165"/>
    <mergeCell ref="D166:F166"/>
    <mergeCell ref="T167:W167"/>
    <mergeCell ref="T168:W168"/>
    <mergeCell ref="T169:W169"/>
    <mergeCell ref="D170:F170"/>
    <mergeCell ref="T171:W171"/>
    <mergeCell ref="T172:W172"/>
    <mergeCell ref="T173:W173"/>
    <mergeCell ref="T174:W174"/>
    <mergeCell ref="T175:W175"/>
    <mergeCell ref="D176:F176"/>
    <mergeCell ref="T177:W177"/>
    <mergeCell ref="T178:W178"/>
    <mergeCell ref="T179:W179"/>
    <mergeCell ref="T180:W180"/>
    <mergeCell ref="T181:W181"/>
    <mergeCell ref="T182:W182"/>
    <mergeCell ref="T183:W183"/>
    <mergeCell ref="T184:W184"/>
    <mergeCell ref="T185:W185"/>
    <mergeCell ref="T186:W186"/>
    <mergeCell ref="T187:W187"/>
    <mergeCell ref="D188:F188"/>
    <mergeCell ref="T189:W189"/>
    <mergeCell ref="T190:W190"/>
    <mergeCell ref="T191:W191"/>
    <mergeCell ref="T193:W193"/>
    <mergeCell ref="D194:R194"/>
    <mergeCell ref="T194:W194"/>
    <mergeCell ref="T192:W192"/>
    <mergeCell ref="X194:Z195"/>
    <mergeCell ref="D195:R195"/>
    <mergeCell ref="T195:W195"/>
    <mergeCell ref="D196:R196"/>
    <mergeCell ref="T196:W196"/>
    <mergeCell ref="D197:R197"/>
    <mergeCell ref="T197:W197"/>
    <mergeCell ref="D198:R198"/>
    <mergeCell ref="T198:Z199"/>
    <mergeCell ref="D199:R199"/>
    <mergeCell ref="D200:R200"/>
    <mergeCell ref="D201:R201"/>
    <mergeCell ref="D202:R202"/>
    <mergeCell ref="D204:V204"/>
    <mergeCell ref="X204:Z205"/>
    <mergeCell ref="T206:W206"/>
    <mergeCell ref="T207:W207"/>
    <mergeCell ref="T209:W209"/>
    <mergeCell ref="T211:W211"/>
    <mergeCell ref="T208:W208"/>
    <mergeCell ref="T210:W210"/>
    <mergeCell ref="T212:W212"/>
    <mergeCell ref="T213:W213"/>
    <mergeCell ref="T214:W214"/>
    <mergeCell ref="T215:W215"/>
    <mergeCell ref="T216:W216"/>
    <mergeCell ref="T217:W217"/>
    <mergeCell ref="D218:R218"/>
    <mergeCell ref="T218:W218"/>
    <mergeCell ref="X218:Y219"/>
    <mergeCell ref="D219:R219"/>
    <mergeCell ref="S219:W219"/>
    <mergeCell ref="T220:Y227"/>
    <mergeCell ref="D221:R221"/>
    <mergeCell ref="D222:R222"/>
    <mergeCell ref="D223:R223"/>
    <mergeCell ref="A224:C227"/>
    <mergeCell ref="D224:R224"/>
    <mergeCell ref="D225:R225"/>
    <mergeCell ref="D226:R226"/>
    <mergeCell ref="D227:R227"/>
    <mergeCell ref="D230:R230"/>
    <mergeCell ref="F231:R231"/>
    <mergeCell ref="F233:R233"/>
    <mergeCell ref="F234:R234"/>
    <mergeCell ref="F235:R235"/>
    <mergeCell ref="F236:R236"/>
    <mergeCell ref="F237:R237"/>
    <mergeCell ref="F238:R238"/>
    <mergeCell ref="F239:R239"/>
    <mergeCell ref="F232:R232"/>
    <mergeCell ref="F249:R249"/>
    <mergeCell ref="F250:R250"/>
    <mergeCell ref="F251:R251"/>
    <mergeCell ref="F252:R252"/>
    <mergeCell ref="F253:R253"/>
    <mergeCell ref="F240:R240"/>
    <mergeCell ref="F241:R241"/>
    <mergeCell ref="F242:R242"/>
    <mergeCell ref="F243:R243"/>
    <mergeCell ref="F244:R244"/>
    <mergeCell ref="F245:R245"/>
    <mergeCell ref="F246:R246"/>
    <mergeCell ref="F247:R247"/>
    <mergeCell ref="F248:R248"/>
  </mergeCells>
  <pageMargins left="0.78749999999999998" right="0.78749999999999998" top="0.98402777777777795" bottom="0.98402777777777795" header="0.51180555555555496" footer="0.51180555555555496"/>
  <pageSetup paperSize="9" scale="54" firstPageNumber="0" orientation="portrait" r:id="rId1"/>
  <rowBreaks count="5" manualBreakCount="5">
    <brk id="27" max="16383" man="1"/>
    <brk id="72" max="16383" man="1"/>
    <brk id="122" max="16383" man="1"/>
    <brk id="154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4" sqref="G4:G18"/>
    </sheetView>
  </sheetViews>
  <sheetFormatPr defaultRowHeight="12.75" x14ac:dyDescent="0.2"/>
  <cols>
    <col min="1" max="1" width="27.5703125" customWidth="1"/>
    <col min="5" max="5" width="9.140625" customWidth="1"/>
    <col min="6" max="6" width="14.5703125" bestFit="1" customWidth="1"/>
    <col min="7" max="7" width="10.5703125" bestFit="1" customWidth="1"/>
    <col min="8" max="13" width="9.140625" customWidth="1"/>
  </cols>
  <sheetData>
    <row r="1" spans="1:13" ht="18" x14ac:dyDescent="0.25">
      <c r="A1" s="627" t="s">
        <v>438</v>
      </c>
      <c r="B1" s="627"/>
      <c r="C1" s="627"/>
      <c r="D1" s="627"/>
      <c r="E1" s="627"/>
    </row>
    <row r="3" spans="1:13" ht="13.5" thickBot="1" x14ac:dyDescent="0.25"/>
    <row r="4" spans="1:13" ht="16.5" customHeight="1" thickBot="1" x14ac:dyDescent="0.25">
      <c r="A4" s="442" t="s">
        <v>355</v>
      </c>
      <c r="B4" s="443">
        <v>0.1</v>
      </c>
      <c r="C4" s="441"/>
      <c r="D4" s="441"/>
      <c r="E4" s="441"/>
      <c r="F4" s="448">
        <f>(10*D23)/100</f>
        <v>7200</v>
      </c>
      <c r="G4" s="448">
        <f>(10*D25)/100</f>
        <v>216</v>
      </c>
      <c r="H4" s="441"/>
      <c r="I4" s="441"/>
      <c r="J4" s="441"/>
      <c r="K4" s="441"/>
      <c r="L4" s="441"/>
      <c r="M4" s="441"/>
    </row>
    <row r="5" spans="1:13" ht="15.75" thickBot="1" x14ac:dyDescent="0.25">
      <c r="A5" s="275"/>
      <c r="B5" s="444"/>
      <c r="C5" s="440"/>
      <c r="D5" s="440"/>
      <c r="E5" s="440"/>
      <c r="F5" s="448"/>
      <c r="G5" s="446"/>
      <c r="H5" s="440"/>
      <c r="I5" s="440"/>
      <c r="J5" s="440"/>
      <c r="K5" s="440"/>
      <c r="L5" s="440"/>
      <c r="M5" s="440"/>
    </row>
    <row r="6" spans="1:13" ht="16.5" customHeight="1" thickBot="1" x14ac:dyDescent="0.25">
      <c r="A6" s="442" t="s">
        <v>356</v>
      </c>
      <c r="B6" s="443">
        <v>7.0000000000000007E-2</v>
      </c>
      <c r="C6" s="441"/>
      <c r="D6" s="441"/>
      <c r="E6" s="441"/>
      <c r="F6" s="448">
        <f>(7*D23)/100</f>
        <v>5040</v>
      </c>
      <c r="G6" s="448">
        <f>(7*D25)/100</f>
        <v>151.19999999999999</v>
      </c>
      <c r="H6" s="441"/>
      <c r="I6" s="441"/>
      <c r="J6" s="441"/>
      <c r="K6" s="441"/>
      <c r="L6" s="441"/>
      <c r="M6" s="441"/>
    </row>
    <row r="7" spans="1:13" ht="15.75" thickBot="1" x14ac:dyDescent="0.25">
      <c r="A7" s="275"/>
      <c r="B7" s="444"/>
      <c r="C7" s="440"/>
      <c r="D7" s="440"/>
      <c r="E7" s="440"/>
      <c r="F7" s="448"/>
      <c r="G7" s="446"/>
      <c r="H7" s="440"/>
      <c r="I7" s="440"/>
      <c r="J7" s="440"/>
      <c r="K7" s="440"/>
      <c r="L7" s="440"/>
      <c r="M7" s="440"/>
    </row>
    <row r="8" spans="1:13" ht="16.5" customHeight="1" thickBot="1" x14ac:dyDescent="0.25">
      <c r="A8" s="442" t="s">
        <v>357</v>
      </c>
      <c r="B8" s="443">
        <v>0.11</v>
      </c>
      <c r="C8" s="441"/>
      <c r="D8" s="441"/>
      <c r="E8" s="441"/>
      <c r="F8" s="448">
        <f>(11*D23)/100</f>
        <v>7920</v>
      </c>
      <c r="G8" s="448">
        <f>(11*D25)/100</f>
        <v>237.6</v>
      </c>
      <c r="H8" s="441"/>
      <c r="I8" s="441"/>
      <c r="J8" s="441"/>
      <c r="K8" s="441"/>
      <c r="L8" s="441"/>
      <c r="M8" s="441"/>
    </row>
    <row r="9" spans="1:13" ht="15.75" thickBot="1" x14ac:dyDescent="0.25">
      <c r="A9" s="275"/>
      <c r="B9" s="444"/>
      <c r="C9" s="440"/>
      <c r="D9" s="440"/>
      <c r="E9" s="440"/>
      <c r="F9" s="448"/>
      <c r="G9" s="446"/>
      <c r="H9" s="440"/>
      <c r="I9" s="440"/>
      <c r="J9" s="440"/>
      <c r="K9" s="440"/>
      <c r="L9" s="440"/>
      <c r="M9" s="440"/>
    </row>
    <row r="10" spans="1:13" ht="16.5" customHeight="1" thickBot="1" x14ac:dyDescent="0.25">
      <c r="A10" s="442" t="s">
        <v>358</v>
      </c>
      <c r="B10" s="443">
        <v>0.16</v>
      </c>
      <c r="C10" s="441"/>
      <c r="D10" s="441"/>
      <c r="E10" s="441"/>
      <c r="F10" s="448">
        <f>(16*D23)/100</f>
        <v>11520</v>
      </c>
      <c r="G10" s="448">
        <f>(16*D25)/100</f>
        <v>345.6</v>
      </c>
      <c r="H10" s="441"/>
      <c r="I10" s="441"/>
      <c r="J10" s="441"/>
      <c r="K10" s="441"/>
      <c r="L10" s="441"/>
      <c r="M10" s="441"/>
    </row>
    <row r="11" spans="1:13" ht="15.75" thickBot="1" x14ac:dyDescent="0.25">
      <c r="A11" s="275"/>
      <c r="B11" s="444"/>
      <c r="C11" s="440"/>
      <c r="D11" s="440"/>
      <c r="E11" s="440"/>
      <c r="F11" s="448"/>
      <c r="G11" s="446"/>
      <c r="H11" s="440"/>
      <c r="I11" s="440"/>
      <c r="J11" s="440"/>
      <c r="K11" s="440"/>
      <c r="L11" s="440"/>
      <c r="M11" s="440"/>
    </row>
    <row r="12" spans="1:13" ht="16.5" customHeight="1" thickBot="1" x14ac:dyDescent="0.25">
      <c r="A12" s="442" t="s">
        <v>359</v>
      </c>
      <c r="B12" s="443">
        <v>0.08</v>
      </c>
      <c r="C12" s="441"/>
      <c r="D12" s="441"/>
      <c r="E12" s="441"/>
      <c r="F12" s="448">
        <f>(8*D23)/100</f>
        <v>5760</v>
      </c>
      <c r="G12" s="448">
        <f>(8*D25)/100</f>
        <v>172.8</v>
      </c>
      <c r="H12" s="441"/>
      <c r="I12" s="441"/>
      <c r="J12" s="441"/>
      <c r="K12" s="441"/>
      <c r="L12" s="441"/>
      <c r="M12" s="441"/>
    </row>
    <row r="13" spans="1:13" ht="15.75" thickBot="1" x14ac:dyDescent="0.25">
      <c r="A13" s="275"/>
      <c r="B13" s="444"/>
      <c r="C13" s="440"/>
      <c r="D13" s="440"/>
      <c r="E13" s="440"/>
      <c r="F13" s="448"/>
      <c r="G13" s="446"/>
      <c r="H13" s="440"/>
      <c r="I13" s="440"/>
      <c r="J13" s="440"/>
      <c r="K13" s="440"/>
      <c r="L13" s="440"/>
      <c r="M13" s="440"/>
    </row>
    <row r="14" spans="1:13" ht="16.5" customHeight="1" thickBot="1" x14ac:dyDescent="0.25">
      <c r="A14" s="442" t="s">
        <v>360</v>
      </c>
      <c r="B14" s="443">
        <v>0.03</v>
      </c>
      <c r="C14" s="441"/>
      <c r="D14" s="441"/>
      <c r="E14" s="441"/>
      <c r="F14" s="448">
        <f>(3*D23)/100</f>
        <v>2160</v>
      </c>
      <c r="G14" s="448">
        <f>(3*D25)/100</f>
        <v>64.8</v>
      </c>
      <c r="H14" s="441"/>
      <c r="I14" s="441"/>
      <c r="J14" s="441"/>
      <c r="K14" s="441"/>
      <c r="L14" s="441"/>
      <c r="M14" s="441"/>
    </row>
    <row r="15" spans="1:13" ht="15.75" thickBot="1" x14ac:dyDescent="0.25">
      <c r="B15" s="445"/>
      <c r="F15" s="449"/>
      <c r="G15" s="447"/>
    </row>
    <row r="16" spans="1:13" ht="16.5" thickBot="1" x14ac:dyDescent="0.25">
      <c r="A16" s="442" t="s">
        <v>439</v>
      </c>
      <c r="B16" s="445">
        <v>0.03</v>
      </c>
      <c r="F16" s="449">
        <f>(0*D23)/100</f>
        <v>0</v>
      </c>
      <c r="G16" s="448">
        <f>(0*D25)/100</f>
        <v>0</v>
      </c>
    </row>
    <row r="17" spans="1:7" ht="15.75" thickBot="1" x14ac:dyDescent="0.25">
      <c r="B17" s="445"/>
      <c r="F17" s="449"/>
      <c r="G17" s="447"/>
    </row>
    <row r="18" spans="1:7" ht="16.5" thickBot="1" x14ac:dyDescent="0.25">
      <c r="A18" s="442" t="s">
        <v>362</v>
      </c>
      <c r="B18" s="445">
        <v>0.42</v>
      </c>
      <c r="F18" s="449">
        <f>(42*D23)/100</f>
        <v>30240</v>
      </c>
      <c r="G18" s="448">
        <f>(42*D25)/100</f>
        <v>907.2</v>
      </c>
    </row>
    <row r="23" spans="1:7" x14ac:dyDescent="0.2">
      <c r="D23">
        <v>72000</v>
      </c>
    </row>
    <row r="24" spans="1:7" x14ac:dyDescent="0.2">
      <c r="D24">
        <v>69840</v>
      </c>
    </row>
    <row r="25" spans="1:7" x14ac:dyDescent="0.2">
      <c r="D25">
        <f>D23-D24</f>
        <v>2160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20" zoomScaleNormal="100" zoomScalePageLayoutView="120" workbookViewId="0">
      <selection activeCell="B21" sqref="B21"/>
    </sheetView>
  </sheetViews>
  <sheetFormatPr defaultRowHeight="12.75" x14ac:dyDescent="0.2"/>
  <cols>
    <col min="1" max="1" width="8.7109375"/>
    <col min="2" max="2" width="11.85546875" bestFit="1" customWidth="1"/>
    <col min="3" max="1025" width="8.7109375"/>
  </cols>
  <sheetData>
    <row r="1" spans="1:8" ht="12.75" customHeight="1" x14ac:dyDescent="0.2">
      <c r="A1" s="567" t="s">
        <v>296</v>
      </c>
      <c r="B1" s="567"/>
      <c r="C1" s="567"/>
      <c r="D1" s="567"/>
      <c r="E1" s="567"/>
      <c r="F1" s="567"/>
      <c r="G1" s="567"/>
      <c r="H1" s="567"/>
    </row>
    <row r="2" spans="1:8" x14ac:dyDescent="0.2">
      <c r="A2" s="567"/>
      <c r="B2" s="567"/>
      <c r="C2" s="567"/>
      <c r="D2" s="567"/>
      <c r="E2" s="567"/>
      <c r="F2" s="567"/>
      <c r="G2" s="567"/>
      <c r="H2" s="567"/>
    </row>
    <row r="5" spans="1:8" x14ac:dyDescent="0.2">
      <c r="A5" s="241" t="s">
        <v>297</v>
      </c>
      <c r="B5" s="242">
        <f>'PART-OCC-UNIR'!S221</f>
        <v>11584.246799999999</v>
      </c>
    </row>
    <row r="6" spans="1:8" x14ac:dyDescent="0.2">
      <c r="A6" s="243" t="s">
        <v>298</v>
      </c>
      <c r="B6" s="244">
        <v>0</v>
      </c>
    </row>
    <row r="7" spans="1:8" x14ac:dyDescent="0.2">
      <c r="A7" s="245" t="s">
        <v>299</v>
      </c>
      <c r="B7" s="246">
        <f>'PART-OCC-UNIR'!S222</f>
        <v>395</v>
      </c>
    </row>
    <row r="8" spans="1:8" x14ac:dyDescent="0.2">
      <c r="A8" s="247" t="s">
        <v>300</v>
      </c>
      <c r="B8" s="248">
        <v>0</v>
      </c>
    </row>
    <row r="20" spans="1:2" x14ac:dyDescent="0.2">
      <c r="A20" s="249" t="s">
        <v>301</v>
      </c>
      <c r="B20" s="439">
        <f>SUM(B5:B8)</f>
        <v>11979.246799999999</v>
      </c>
    </row>
  </sheetData>
  <mergeCells count="1">
    <mergeCell ref="A1:H2"/>
  </mergeCells>
  <pageMargins left="0.78749999999999998" right="0.78749999999999998" top="0.98402777777777795" bottom="0.98402777777777795" header="0.51180555555555496" footer="0.51180555555555496"/>
  <pageSetup paperSize="9" firstPageNumber="0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view="pageBreakPreview" topLeftCell="C1" zoomScale="85" zoomScaleNormal="70" zoomScaleSheetLayoutView="85" zoomScalePageLayoutView="120" workbookViewId="0">
      <selection activeCell="Z7" sqref="Z7"/>
    </sheetView>
  </sheetViews>
  <sheetFormatPr defaultRowHeight="12.75" x14ac:dyDescent="0.2"/>
  <cols>
    <col min="1" max="1" width="1.28515625"/>
    <col min="2" max="2" width="0.5703125"/>
    <col min="3" max="3" width="1.140625"/>
    <col min="4" max="4" width="12.28515625"/>
    <col min="5" max="5" width="0.140625"/>
    <col min="6" max="6" width="32.7109375"/>
    <col min="7" max="7" width="0.140625"/>
    <col min="8" max="8" width="6.42578125"/>
    <col min="9" max="9" width="0.140625"/>
    <col min="10" max="10" width="6.42578125"/>
    <col min="11" max="11" width="0.140625"/>
    <col min="12" max="12" width="6.42578125"/>
    <col min="13" max="13" width="0.140625"/>
    <col min="14" max="15" width="7.7109375"/>
    <col min="16" max="16" width="6.42578125"/>
    <col min="17" max="17" width="0.140625"/>
    <col min="18" max="18" width="6.42578125"/>
    <col min="19" max="19" width="10.42578125"/>
    <col min="20" max="20" width="5.85546875"/>
    <col min="21" max="21" width="0.7109375"/>
    <col min="22" max="22" width="1.7109375"/>
    <col min="23" max="23" width="2.140625"/>
    <col min="24" max="26" width="8.7109375"/>
    <col min="27" max="27" width="12.28515625"/>
    <col min="28" max="28" width="14"/>
    <col min="29" max="1025" width="8.7109375"/>
  </cols>
  <sheetData>
    <row r="1" spans="1:28" ht="18" customHeight="1" x14ac:dyDescent="0.2">
      <c r="A1" s="3"/>
      <c r="B1" s="3"/>
      <c r="C1" s="504" t="s">
        <v>167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3"/>
      <c r="V1" s="3"/>
      <c r="W1" s="3"/>
      <c r="X1" s="474"/>
      <c r="Y1" s="474"/>
      <c r="Z1" s="474"/>
    </row>
    <row r="2" spans="1:28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4"/>
      <c r="Y2" s="474"/>
      <c r="Z2" s="474"/>
    </row>
    <row r="3" spans="1:28" ht="13.5" customHeight="1" x14ac:dyDescent="0.2">
      <c r="A3" s="3"/>
      <c r="B3" s="3"/>
      <c r="C3" s="3"/>
      <c r="D3" s="473" t="s">
        <v>168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3"/>
      <c r="X3" s="474"/>
      <c r="Y3" s="474"/>
      <c r="Z3" s="474"/>
    </row>
    <row r="4" spans="1:28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74"/>
      <c r="Y4" s="474"/>
      <c r="Z4" s="474"/>
      <c r="AB4" s="9"/>
    </row>
    <row r="5" spans="1:28" ht="30.75" customHeight="1" x14ac:dyDescent="0.2">
      <c r="A5" s="3"/>
      <c r="B5" s="3"/>
      <c r="C5" s="3"/>
      <c r="D5" s="250" t="s">
        <v>4</v>
      </c>
      <c r="E5" s="251"/>
      <c r="F5" s="252" t="s">
        <v>5</v>
      </c>
      <c r="G5" s="251"/>
      <c r="H5" s="253" t="s">
        <v>6</v>
      </c>
      <c r="I5" s="251"/>
      <c r="J5" s="253" t="s">
        <v>7</v>
      </c>
      <c r="K5" s="251"/>
      <c r="L5" s="253" t="s">
        <v>8</v>
      </c>
      <c r="M5" s="251"/>
      <c r="N5" s="253" t="s">
        <v>9</v>
      </c>
      <c r="O5" s="253" t="s">
        <v>10</v>
      </c>
      <c r="P5" s="253" t="s">
        <v>11</v>
      </c>
      <c r="Q5" s="251"/>
      <c r="R5" s="254" t="s">
        <v>12</v>
      </c>
      <c r="S5" s="96" t="s">
        <v>13</v>
      </c>
      <c r="T5" s="475" t="s">
        <v>14</v>
      </c>
      <c r="U5" s="475"/>
      <c r="V5" s="475"/>
      <c r="W5" s="475"/>
      <c r="X5" s="97" t="s">
        <v>15</v>
      </c>
      <c r="Y5" s="114" t="s">
        <v>16</v>
      </c>
      <c r="Z5" s="115" t="s">
        <v>17</v>
      </c>
    </row>
    <row r="6" spans="1:28" ht="26.25" customHeight="1" x14ac:dyDescent="0.2">
      <c r="A6" s="3"/>
      <c r="B6" s="3"/>
      <c r="C6" s="3"/>
      <c r="D6" s="582" t="s">
        <v>169</v>
      </c>
      <c r="E6" s="582"/>
      <c r="F6" s="582"/>
      <c r="G6" s="255"/>
      <c r="H6" s="256"/>
      <c r="I6" s="255"/>
      <c r="J6" s="256"/>
      <c r="K6" s="255"/>
      <c r="L6" s="256"/>
      <c r="M6" s="255"/>
      <c r="N6" s="257"/>
      <c r="O6" s="257"/>
      <c r="P6" s="256"/>
      <c r="Q6" s="255"/>
      <c r="R6" s="256"/>
      <c r="S6" s="258"/>
      <c r="T6" s="258"/>
      <c r="U6" s="258"/>
      <c r="V6" s="258"/>
      <c r="W6" s="258"/>
      <c r="X6" s="259"/>
      <c r="Y6" s="260"/>
      <c r="Z6" s="261"/>
    </row>
    <row r="7" spans="1:28" ht="14.1" customHeight="1" x14ac:dyDescent="0.2">
      <c r="A7" s="3"/>
      <c r="B7" s="3"/>
      <c r="C7" s="3"/>
      <c r="D7" s="143" t="str">
        <f>'PART-OCC-UNIR'!D161</f>
        <v>15988</v>
      </c>
      <c r="E7" s="3"/>
      <c r="F7" s="144" t="s">
        <v>119</v>
      </c>
      <c r="G7" s="3"/>
      <c r="H7" s="145" t="s">
        <v>22</v>
      </c>
      <c r="I7" s="3"/>
      <c r="J7" s="145">
        <v>50</v>
      </c>
      <c r="K7" s="3"/>
      <c r="L7" s="145">
        <v>47</v>
      </c>
      <c r="M7" s="3"/>
      <c r="N7" s="146">
        <v>182</v>
      </c>
      <c r="O7" s="146">
        <v>153</v>
      </c>
      <c r="P7" s="145">
        <f>MEDIAN(N7,O7)</f>
        <v>167.5</v>
      </c>
      <c r="Q7" s="3"/>
      <c r="R7" s="147">
        <v>9</v>
      </c>
      <c r="S7" s="148">
        <f>(((R7)*(1+0.12)+(((L7)-(R7))/4))*1*4*1.15*1)</f>
        <v>90.067999999999998</v>
      </c>
      <c r="T7" s="580">
        <f>(S7/S12)</f>
        <v>8.8743852969837056E-2</v>
      </c>
      <c r="U7" s="580"/>
      <c r="V7" s="580"/>
      <c r="W7" s="580"/>
      <c r="X7" s="103">
        <f>'PART-OCC-UNIR'!X161</f>
        <v>3</v>
      </c>
      <c r="Y7" s="421"/>
      <c r="Z7" s="150">
        <f>X7/S112</f>
        <v>0.96551724137931028</v>
      </c>
      <c r="AB7" s="9"/>
    </row>
    <row r="8" spans="1:28" ht="11.25" customHeight="1" x14ac:dyDescent="0.2">
      <c r="A8" s="3"/>
      <c r="B8" s="3"/>
      <c r="C8" s="3"/>
      <c r="D8" s="143" t="str">
        <f>'PART-OCC-UNIR'!D162</f>
        <v>15989</v>
      </c>
      <c r="E8" s="3"/>
      <c r="F8" s="28" t="s">
        <v>172</v>
      </c>
      <c r="G8" s="3"/>
      <c r="H8" s="29" t="s">
        <v>22</v>
      </c>
      <c r="I8" s="3"/>
      <c r="J8" s="29">
        <v>40</v>
      </c>
      <c r="K8" s="3"/>
      <c r="L8" s="29">
        <v>38</v>
      </c>
      <c r="M8" s="3"/>
      <c r="N8" s="64">
        <v>162</v>
      </c>
      <c r="O8" s="64">
        <v>156</v>
      </c>
      <c r="P8" s="145">
        <f>MEDIAN(N8,O8)</f>
        <v>159</v>
      </c>
      <c r="Q8" s="3"/>
      <c r="R8" s="65">
        <v>33</v>
      </c>
      <c r="S8" s="152">
        <f>(((R8)*(1+0.12)+(((L8)-(R8))/4))*1*4*1.15*1)</f>
        <v>175.76599999999999</v>
      </c>
      <c r="T8" s="580">
        <f>(S8/S12)</f>
        <v>0.17318195209282297</v>
      </c>
      <c r="U8" s="580"/>
      <c r="V8" s="580"/>
      <c r="W8" s="580"/>
      <c r="X8" s="419">
        <f>'PART-OCC-UNIR'!X162</f>
        <v>3</v>
      </c>
      <c r="Y8" s="376" t="s">
        <v>411</v>
      </c>
      <c r="Z8" s="37">
        <f>X8/S112</f>
        <v>0.96551724137931028</v>
      </c>
    </row>
    <row r="9" spans="1:28" ht="12" customHeight="1" x14ac:dyDescent="0.2">
      <c r="A9" s="3"/>
      <c r="B9" s="3"/>
      <c r="C9" s="3"/>
      <c r="D9" s="143" t="str">
        <f>'PART-OCC-UNIR'!D163</f>
        <v>116718</v>
      </c>
      <c r="E9" s="3"/>
      <c r="F9" s="28" t="s">
        <v>302</v>
      </c>
      <c r="G9" s="3"/>
      <c r="H9" s="29" t="s">
        <v>22</v>
      </c>
      <c r="I9" s="3"/>
      <c r="J9" s="29">
        <v>50</v>
      </c>
      <c r="K9" s="3"/>
      <c r="L9" s="29">
        <v>49</v>
      </c>
      <c r="M9" s="3"/>
      <c r="N9" s="64">
        <v>113</v>
      </c>
      <c r="O9" s="64">
        <v>141</v>
      </c>
      <c r="P9" s="145">
        <f>MEDIAN(N9,O9)</f>
        <v>127</v>
      </c>
      <c r="Q9" s="3"/>
      <c r="R9" s="65">
        <v>14</v>
      </c>
      <c r="S9" s="152">
        <f>((P9)*1*1.15*1)</f>
        <v>146.04999999999998</v>
      </c>
      <c r="T9" s="580">
        <f>(S9/S12)</f>
        <v>0.14390282593423526</v>
      </c>
      <c r="U9" s="580"/>
      <c r="V9" s="580"/>
      <c r="W9" s="580"/>
      <c r="X9" s="419">
        <f>'PART-OCC-UNIR'!X163</f>
        <v>3</v>
      </c>
      <c r="Y9" s="376">
        <v>0</v>
      </c>
      <c r="Z9" s="37">
        <f>X9/S112</f>
        <v>0.96551724137931028</v>
      </c>
    </row>
    <row r="10" spans="1:28" ht="12.75" customHeight="1" x14ac:dyDescent="0.2">
      <c r="A10" s="3"/>
      <c r="B10" s="3"/>
      <c r="C10" s="3"/>
      <c r="D10" s="143" t="str">
        <f>'PART-OCC-UNIR'!D164</f>
        <v>15987</v>
      </c>
      <c r="E10" s="3"/>
      <c r="F10" s="28" t="s">
        <v>176</v>
      </c>
      <c r="G10" s="3"/>
      <c r="H10" s="29" t="s">
        <v>22</v>
      </c>
      <c r="I10" s="3"/>
      <c r="J10" s="29">
        <v>50</v>
      </c>
      <c r="K10" s="3"/>
      <c r="L10" s="29">
        <v>46</v>
      </c>
      <c r="M10" s="3"/>
      <c r="N10" s="64">
        <v>166</v>
      </c>
      <c r="O10" s="64">
        <v>139</v>
      </c>
      <c r="P10" s="145">
        <f>MEDIAN(N10,O10)</f>
        <v>152.5</v>
      </c>
      <c r="Q10" s="3"/>
      <c r="R10" s="65">
        <v>6</v>
      </c>
      <c r="S10" s="152">
        <f>(((R10)*(1+0.12)+(((L10)-(R10))/4))*1*4*1.15*1)</f>
        <v>76.911999999999992</v>
      </c>
      <c r="T10" s="580">
        <f>(S10/S12)</f>
        <v>7.5781267704579949E-2</v>
      </c>
      <c r="U10" s="580"/>
      <c r="V10" s="580"/>
      <c r="W10" s="580"/>
      <c r="X10" s="419">
        <f>'PART-OCC-UNIR'!X164</f>
        <v>2</v>
      </c>
      <c r="Y10" s="376"/>
      <c r="Z10" s="37">
        <f>X10/S112</f>
        <v>0.64367816091954022</v>
      </c>
    </row>
    <row r="11" spans="1:28" ht="14.25" customHeight="1" x14ac:dyDescent="0.2">
      <c r="A11" s="3"/>
      <c r="B11" s="3"/>
      <c r="C11" s="3"/>
      <c r="D11" s="143" t="str">
        <f>'PART-OCC-UNIR'!D165</f>
        <v>15995</v>
      </c>
      <c r="E11" s="3"/>
      <c r="F11" s="28" t="s">
        <v>178</v>
      </c>
      <c r="G11" s="3"/>
      <c r="H11" s="29" t="s">
        <v>22</v>
      </c>
      <c r="I11" s="3"/>
      <c r="J11" s="44">
        <v>100</v>
      </c>
      <c r="K11" s="3"/>
      <c r="L11" s="44">
        <v>192</v>
      </c>
      <c r="M11" s="3"/>
      <c r="N11" s="154">
        <v>477</v>
      </c>
      <c r="O11" s="154">
        <v>465</v>
      </c>
      <c r="P11" s="145">
        <f>MEDIAN(N11,O11)</f>
        <v>471</v>
      </c>
      <c r="Q11" s="3"/>
      <c r="R11" s="93">
        <v>50</v>
      </c>
      <c r="S11" s="152">
        <f>(((R11)*(1+0.12)+(((L11)-(R11))/4))*1*5*1.15*1)</f>
        <v>526.125</v>
      </c>
      <c r="T11" s="580">
        <f>(S11/S12)</f>
        <v>0.5183901012985247</v>
      </c>
      <c r="U11" s="580"/>
      <c r="V11" s="580"/>
      <c r="W11" s="580"/>
      <c r="X11" s="419">
        <f>'PART-OCC-UNIR'!X165</f>
        <v>3</v>
      </c>
      <c r="Y11" s="420"/>
      <c r="Z11" s="158">
        <f>X11/S112</f>
        <v>0.96551724137931028</v>
      </c>
    </row>
    <row r="12" spans="1:28" ht="14.1" customHeight="1" x14ac:dyDescent="0.2">
      <c r="A12" s="3"/>
      <c r="B12" s="3"/>
      <c r="C12" s="3"/>
      <c r="D12" s="466" t="s">
        <v>303</v>
      </c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90">
        <f>SUM(S7:S11)</f>
        <v>1014.921</v>
      </c>
      <c r="T12" s="581">
        <f>SUM(T7:T11)</f>
        <v>1</v>
      </c>
      <c r="U12" s="581"/>
      <c r="V12" s="581"/>
      <c r="W12" s="581"/>
      <c r="X12" s="477"/>
      <c r="Y12" s="477"/>
      <c r="Z12" s="477"/>
    </row>
    <row r="13" spans="1:28" ht="12.75" customHeight="1" x14ac:dyDescent="0.2">
      <c r="A13" s="3"/>
      <c r="B13" s="3"/>
      <c r="C13" s="3"/>
      <c r="D13" s="478" t="s">
        <v>304</v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90">
        <f>(S12+S90)</f>
        <v>1020.921</v>
      </c>
      <c r="T13" s="479">
        <f>S13/S111</f>
        <v>0.19330623933277868</v>
      </c>
      <c r="U13" s="479"/>
      <c r="V13" s="479"/>
      <c r="W13" s="479"/>
      <c r="X13" s="477"/>
      <c r="Y13" s="477"/>
      <c r="Z13" s="477"/>
    </row>
    <row r="14" spans="1:28" ht="13.5" customHeight="1" x14ac:dyDescent="0.2">
      <c r="A14" s="3"/>
      <c r="B14" s="3"/>
      <c r="C14" s="3"/>
      <c r="D14" s="480" t="s">
        <v>305</v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50">
        <f>SUM(Z7:Z11)/5</f>
        <v>0.90114942528735631</v>
      </c>
      <c r="T14" s="481" t="s">
        <v>33</v>
      </c>
      <c r="U14" s="481"/>
      <c r="V14" s="481"/>
      <c r="W14" s="481"/>
      <c r="X14" s="52" t="s">
        <v>34</v>
      </c>
      <c r="Y14" s="52" t="s">
        <v>35</v>
      </c>
      <c r="Z14" s="53" t="s">
        <v>36</v>
      </c>
    </row>
    <row r="15" spans="1:28" ht="13.5" customHeight="1" x14ac:dyDescent="0.2">
      <c r="A15" s="3"/>
      <c r="B15" s="3"/>
      <c r="C15" s="3"/>
      <c r="D15" s="482" t="s">
        <v>306</v>
      </c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56">
        <f>S13/SUM(T15:Z15)</f>
        <v>10.496822948797039</v>
      </c>
      <c r="T15" s="508">
        <f>(45)*1.7</f>
        <v>76.5</v>
      </c>
      <c r="U15" s="508"/>
      <c r="V15" s="508"/>
      <c r="W15" s="508"/>
      <c r="X15" s="54">
        <f>8*1</f>
        <v>8</v>
      </c>
      <c r="Y15" s="54">
        <f>22*0.58</f>
        <v>12.76</v>
      </c>
      <c r="Z15" s="55">
        <f>0*1</f>
        <v>0</v>
      </c>
    </row>
    <row r="16" spans="1:28" ht="13.5" customHeight="1" x14ac:dyDescent="0.2">
      <c r="A16" s="3"/>
      <c r="B16" s="3"/>
      <c r="C16" s="3"/>
      <c r="D16" s="484" t="s">
        <v>307</v>
      </c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56">
        <f>S15/S114</f>
        <v>1.006955357535166</v>
      </c>
      <c r="T16" s="539"/>
      <c r="U16" s="539"/>
      <c r="V16" s="539"/>
      <c r="W16" s="539"/>
      <c r="X16" s="539"/>
      <c r="Y16" s="539"/>
      <c r="Z16" s="539"/>
    </row>
    <row r="17" spans="1:26" ht="13.5" customHeight="1" x14ac:dyDescent="0.2">
      <c r="A17" s="3"/>
      <c r="B17" s="3"/>
      <c r="C17" s="3"/>
      <c r="D17" s="486" t="s">
        <v>308</v>
      </c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57">
        <f>S14+S16+Y90</f>
        <v>2.7999966747144143</v>
      </c>
      <c r="T17" s="539"/>
      <c r="U17" s="539"/>
      <c r="V17" s="539"/>
      <c r="W17" s="539"/>
      <c r="X17" s="539"/>
      <c r="Y17" s="539"/>
      <c r="Z17" s="539"/>
    </row>
    <row r="18" spans="1:26" ht="12.75" customHeight="1" x14ac:dyDescent="0.2">
      <c r="A18" s="3"/>
      <c r="B18" s="3"/>
      <c r="C18" s="3"/>
      <c r="D18" s="471" t="s">
        <v>309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58">
        <f>S13/S111</f>
        <v>0.19330623933277868</v>
      </c>
      <c r="T18" s="72"/>
      <c r="U18" s="72"/>
      <c r="V18" s="72"/>
      <c r="W18" s="72"/>
      <c r="X18" s="72"/>
      <c r="Y18" s="72"/>
      <c r="Z18" s="72"/>
    </row>
    <row r="19" spans="1:26" ht="14.25" customHeight="1" x14ac:dyDescent="0.2">
      <c r="A19" s="3"/>
      <c r="B19" s="3"/>
      <c r="C19" s="3"/>
      <c r="D19" s="472" t="s">
        <v>310</v>
      </c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58">
        <f>S17/S115</f>
        <v>0.19053898768067867</v>
      </c>
      <c r="T19" s="72"/>
      <c r="U19" s="72"/>
      <c r="V19" s="72"/>
      <c r="W19" s="72"/>
      <c r="X19" s="72"/>
      <c r="Y19" s="72"/>
      <c r="Z19" s="72"/>
    </row>
    <row r="20" spans="1:26" ht="14.25" customHeight="1" x14ac:dyDescent="0.2">
      <c r="A20" s="3"/>
      <c r="B20" s="3"/>
      <c r="C20" s="3"/>
      <c r="D20" s="460" t="s">
        <v>311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62">
        <f>((S18*0.9)+(S19*0.1))</f>
        <v>0.19302951416756869</v>
      </c>
      <c r="T20" s="72"/>
      <c r="U20" s="72"/>
      <c r="V20" s="72"/>
      <c r="W20" s="72"/>
      <c r="X20" s="72"/>
      <c r="Y20" s="72"/>
      <c r="Z20" s="72"/>
    </row>
    <row r="21" spans="1:26" ht="11.25" customHeight="1" x14ac:dyDescent="0.2">
      <c r="A21" s="3"/>
      <c r="B21" s="3"/>
      <c r="C21" s="3"/>
      <c r="D21" s="502" t="s">
        <v>179</v>
      </c>
      <c r="E21" s="502"/>
      <c r="F21" s="502"/>
      <c r="G21" s="159"/>
      <c r="H21" s="160"/>
      <c r="I21" s="159"/>
      <c r="J21" s="160"/>
      <c r="K21" s="159"/>
      <c r="L21" s="160"/>
      <c r="M21" s="159"/>
      <c r="N21" s="262"/>
      <c r="O21" s="262"/>
      <c r="P21" s="160"/>
      <c r="Q21" s="159"/>
      <c r="R21" s="160"/>
      <c r="S21" s="161"/>
      <c r="T21" s="161"/>
      <c r="U21" s="161"/>
      <c r="V21" s="161"/>
      <c r="W21" s="161"/>
      <c r="X21" s="162"/>
      <c r="Y21" s="163"/>
      <c r="Z21" s="164"/>
    </row>
    <row r="22" spans="1:26" ht="11.25" customHeight="1" x14ac:dyDescent="0.2">
      <c r="A22" s="3"/>
      <c r="B22" s="3"/>
      <c r="C22" s="3"/>
      <c r="D22" s="167" t="str">
        <f>'PART-OCC-UNIR'!D167</f>
        <v>116727</v>
      </c>
      <c r="E22" s="3"/>
      <c r="F22" s="28" t="s">
        <v>181</v>
      </c>
      <c r="G22" s="3"/>
      <c r="H22" s="29" t="s">
        <v>29</v>
      </c>
      <c r="I22" s="3"/>
      <c r="J22" s="145">
        <v>0</v>
      </c>
      <c r="K22" s="3"/>
      <c r="L22" s="145">
        <v>2</v>
      </c>
      <c r="M22" s="3"/>
      <c r="N22" s="146">
        <v>146</v>
      </c>
      <c r="O22" s="146">
        <v>142</v>
      </c>
      <c r="P22" s="145">
        <f>MEDIAN(N22,O22)</f>
        <v>144</v>
      </c>
      <c r="Q22" s="3"/>
      <c r="R22" s="166">
        <v>0</v>
      </c>
      <c r="S22" s="152">
        <f>((P22)*2*1*1)</f>
        <v>288</v>
      </c>
      <c r="T22" s="577">
        <f>(S22/S25)</f>
        <v>0.45398299140112075</v>
      </c>
      <c r="U22" s="577"/>
      <c r="V22" s="577"/>
      <c r="W22" s="577"/>
      <c r="X22" s="35">
        <f>'PART-OCC-UNIR'!X167</f>
        <v>2</v>
      </c>
      <c r="Y22" s="421" t="s">
        <v>73</v>
      </c>
      <c r="Z22" s="37">
        <f>X22/S112</f>
        <v>0.64367816091954022</v>
      </c>
    </row>
    <row r="23" spans="1:26" ht="13.5" customHeight="1" x14ac:dyDescent="0.2">
      <c r="A23" s="3"/>
      <c r="B23" s="3"/>
      <c r="C23" s="3"/>
      <c r="D23" s="167" t="str">
        <f>'PART-OCC-UNIR'!D168</f>
        <v>100292</v>
      </c>
      <c r="E23" s="3"/>
      <c r="F23" s="28" t="s">
        <v>183</v>
      </c>
      <c r="G23" s="3"/>
      <c r="H23" s="29" t="s">
        <v>29</v>
      </c>
      <c r="I23" s="3"/>
      <c r="J23" s="29">
        <v>45</v>
      </c>
      <c r="K23" s="3"/>
      <c r="L23" s="29">
        <v>40</v>
      </c>
      <c r="M23" s="3"/>
      <c r="N23" s="64">
        <v>123</v>
      </c>
      <c r="O23" s="64">
        <v>146</v>
      </c>
      <c r="P23" s="145">
        <f>MEDIAN(N23,O23)</f>
        <v>134.5</v>
      </c>
      <c r="Q23" s="3"/>
      <c r="R23" s="65">
        <v>18</v>
      </c>
      <c r="S23" s="152">
        <f>((P23)*2*1*1)</f>
        <v>269</v>
      </c>
      <c r="T23" s="487">
        <f>(S23/S25)</f>
        <v>0.42403272460729685</v>
      </c>
      <c r="U23" s="487"/>
      <c r="V23" s="487"/>
      <c r="W23" s="487"/>
      <c r="X23" s="423">
        <f>'PART-OCC-UNIR'!X168</f>
        <v>3</v>
      </c>
      <c r="Y23" s="376" t="s">
        <v>73</v>
      </c>
      <c r="Z23" s="37">
        <f>X23/S112</f>
        <v>0.96551724137931028</v>
      </c>
    </row>
    <row r="24" spans="1:26" ht="13.5" customHeight="1" x14ac:dyDescent="0.2">
      <c r="A24" s="3"/>
      <c r="B24" s="3"/>
      <c r="C24" s="3"/>
      <c r="D24" s="167" t="str">
        <f>'PART-OCC-UNIR'!D169</f>
        <v>318882</v>
      </c>
      <c r="E24" s="3"/>
      <c r="F24" s="28" t="s">
        <v>185</v>
      </c>
      <c r="G24" s="3"/>
      <c r="H24" s="29" t="s">
        <v>48</v>
      </c>
      <c r="I24" s="3"/>
      <c r="J24" s="44">
        <v>45</v>
      </c>
      <c r="K24" s="3"/>
      <c r="L24" s="44">
        <v>41</v>
      </c>
      <c r="M24" s="3"/>
      <c r="N24" s="154">
        <v>156</v>
      </c>
      <c r="O24" s="154">
        <v>123</v>
      </c>
      <c r="P24" s="145">
        <f>MEDIAN(N24,O24)</f>
        <v>139.5</v>
      </c>
      <c r="Q24" s="3"/>
      <c r="R24" s="93">
        <v>3</v>
      </c>
      <c r="S24" s="152">
        <f>(((R24)*(1+0.1325)+(((L24)-(R24))/4))*1.5*4*1*1)</f>
        <v>77.385000000000005</v>
      </c>
      <c r="T24" s="578">
        <f>(S24/S25)</f>
        <v>0.12198428399158241</v>
      </c>
      <c r="U24" s="578"/>
      <c r="V24" s="578"/>
      <c r="W24" s="578"/>
      <c r="X24" s="423">
        <f>'PART-OCC-UNIR'!X169</f>
        <v>4</v>
      </c>
      <c r="Y24" s="420" t="s">
        <v>73</v>
      </c>
      <c r="Z24" s="37">
        <f>X24/S112</f>
        <v>1.2873563218390804</v>
      </c>
    </row>
    <row r="25" spans="1:26" ht="14.1" customHeight="1" x14ac:dyDescent="0.2">
      <c r="A25" s="3"/>
      <c r="B25" s="3"/>
      <c r="C25" s="3"/>
      <c r="D25" s="466" t="s">
        <v>312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90">
        <f>SUM(S22:S24)</f>
        <v>634.38499999999999</v>
      </c>
      <c r="T25" s="494">
        <f>SUM(T22:W24)</f>
        <v>1</v>
      </c>
      <c r="U25" s="494"/>
      <c r="V25" s="494"/>
      <c r="W25" s="494"/>
      <c r="X25" s="477"/>
      <c r="Y25" s="477"/>
      <c r="Z25" s="477"/>
    </row>
    <row r="26" spans="1:26" ht="12.75" customHeight="1" x14ac:dyDescent="0.2">
      <c r="A26" s="3"/>
      <c r="B26" s="3"/>
      <c r="C26" s="3"/>
      <c r="D26" s="478" t="s">
        <v>313</v>
      </c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90">
        <f>(S25)</f>
        <v>634.38499999999999</v>
      </c>
      <c r="T26" s="479">
        <f>((S26)/S111)</f>
        <v>0.12011759836375664</v>
      </c>
      <c r="U26" s="479"/>
      <c r="V26" s="479"/>
      <c r="W26" s="479"/>
      <c r="X26" s="477"/>
      <c r="Y26" s="477"/>
      <c r="Z26" s="477"/>
    </row>
    <row r="27" spans="1:26" ht="13.5" customHeight="1" x14ac:dyDescent="0.2">
      <c r="A27" s="3"/>
      <c r="B27" s="3"/>
      <c r="C27" s="3"/>
      <c r="D27" s="480" t="s">
        <v>314</v>
      </c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50">
        <f>SUM(Z22:Z24)/3</f>
        <v>0.96551724137931016</v>
      </c>
      <c r="T27" s="481" t="s">
        <v>33</v>
      </c>
      <c r="U27" s="481"/>
      <c r="V27" s="481"/>
      <c r="W27" s="481"/>
      <c r="X27" s="52" t="s">
        <v>34</v>
      </c>
      <c r="Y27" s="52" t="s">
        <v>35</v>
      </c>
      <c r="Z27" s="53" t="s">
        <v>36</v>
      </c>
    </row>
    <row r="28" spans="1:26" ht="13.5" customHeight="1" x14ac:dyDescent="0.2">
      <c r="A28" s="3"/>
      <c r="B28" s="3"/>
      <c r="C28" s="3"/>
      <c r="D28" s="482" t="s">
        <v>315</v>
      </c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56">
        <f>S26/SUM(T28:Z28)</f>
        <v>12.602006356773936</v>
      </c>
      <c r="T28" s="508">
        <f>(28)*1.7</f>
        <v>47.6</v>
      </c>
      <c r="U28" s="508"/>
      <c r="V28" s="508"/>
      <c r="W28" s="508"/>
      <c r="X28" s="54">
        <f>1*1</f>
        <v>1</v>
      </c>
      <c r="Y28" s="54">
        <f>3*0.58</f>
        <v>1.7399999999999998</v>
      </c>
      <c r="Z28" s="55">
        <f>0*1</f>
        <v>0</v>
      </c>
    </row>
    <row r="29" spans="1:26" ht="13.5" customHeight="1" x14ac:dyDescent="0.2">
      <c r="A29" s="3"/>
      <c r="B29" s="3"/>
      <c r="C29" s="3"/>
      <c r="D29" s="484" t="s">
        <v>316</v>
      </c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56">
        <f>S28/S114</f>
        <v>1.2089046255753029</v>
      </c>
      <c r="T29" s="539"/>
      <c r="U29" s="539"/>
      <c r="V29" s="539"/>
      <c r="W29" s="539"/>
      <c r="X29" s="539"/>
      <c r="Y29" s="539"/>
      <c r="Z29" s="539"/>
    </row>
    <row r="30" spans="1:26" ht="13.5" customHeight="1" x14ac:dyDescent="0.2">
      <c r="A30" s="3"/>
      <c r="B30" s="3"/>
      <c r="C30" s="3"/>
      <c r="D30" s="486" t="s">
        <v>317</v>
      </c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57">
        <f>S27+S29+S102</f>
        <v>3.1984458909786371</v>
      </c>
      <c r="T30" s="539"/>
      <c r="U30" s="539"/>
      <c r="V30" s="539"/>
      <c r="W30" s="539"/>
      <c r="X30" s="539"/>
      <c r="Y30" s="539"/>
      <c r="Z30" s="539"/>
    </row>
    <row r="31" spans="1:26" ht="12.75" customHeight="1" x14ac:dyDescent="0.2">
      <c r="A31" s="3"/>
      <c r="B31" s="3"/>
      <c r="C31" s="3"/>
      <c r="D31" s="471" t="s">
        <v>318</v>
      </c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58">
        <f>S26/S111</f>
        <v>0.12011759836375664</v>
      </c>
      <c r="T31" s="72"/>
      <c r="U31" s="72"/>
      <c r="V31" s="72"/>
      <c r="W31" s="72"/>
      <c r="X31" s="72"/>
      <c r="Y31" s="72"/>
      <c r="Z31" s="72"/>
    </row>
    <row r="32" spans="1:26" ht="14.25" customHeight="1" x14ac:dyDescent="0.2">
      <c r="A32" s="3"/>
      <c r="B32" s="3"/>
      <c r="C32" s="3"/>
      <c r="D32" s="472" t="s">
        <v>319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58">
        <f>S30/S115</f>
        <v>0.21765334499215239</v>
      </c>
      <c r="T32" s="72"/>
      <c r="U32" s="72"/>
      <c r="V32" s="72"/>
      <c r="W32" s="72"/>
      <c r="X32" s="72"/>
      <c r="Y32" s="72"/>
      <c r="Z32" s="72"/>
    </row>
    <row r="33" spans="1:28" ht="14.25" customHeight="1" x14ac:dyDescent="0.2">
      <c r="A33" s="3"/>
      <c r="B33" s="3"/>
      <c r="C33" s="3"/>
      <c r="D33" s="460" t="s">
        <v>320</v>
      </c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62">
        <f>((S31*0.9)+(S32*0.1))</f>
        <v>0.12987117302659623</v>
      </c>
      <c r="T33" s="72"/>
      <c r="U33" s="72"/>
      <c r="V33" s="72"/>
      <c r="W33" s="72"/>
      <c r="X33" s="72"/>
      <c r="Y33" s="72"/>
      <c r="Z33" s="72"/>
    </row>
    <row r="34" spans="1:28" ht="12.75" customHeight="1" x14ac:dyDescent="0.2">
      <c r="A34" s="3"/>
      <c r="B34" s="3"/>
      <c r="C34" s="3"/>
      <c r="D34" s="497" t="s">
        <v>186</v>
      </c>
      <c r="E34" s="497"/>
      <c r="F34" s="497"/>
      <c r="G34" s="169"/>
      <c r="H34" s="170"/>
      <c r="I34" s="169"/>
      <c r="J34" s="170"/>
      <c r="K34" s="169"/>
      <c r="L34" s="170"/>
      <c r="M34" s="169"/>
      <c r="N34" s="263"/>
      <c r="O34" s="263"/>
      <c r="P34" s="170"/>
      <c r="Q34" s="169"/>
      <c r="R34" s="170"/>
      <c r="S34" s="171"/>
      <c r="T34" s="171"/>
      <c r="U34" s="171"/>
      <c r="V34" s="171"/>
      <c r="W34" s="171"/>
      <c r="X34" s="172"/>
      <c r="Y34" s="173"/>
      <c r="Z34" s="174"/>
    </row>
    <row r="35" spans="1:28" ht="13.5" customHeight="1" x14ac:dyDescent="0.2">
      <c r="A35" s="3"/>
      <c r="B35" s="3"/>
      <c r="C35" s="3"/>
      <c r="D35" s="176" t="str">
        <f>'PART-OCC-UNIR'!D171</f>
        <v>318363</v>
      </c>
      <c r="E35" s="3"/>
      <c r="F35" s="28" t="s">
        <v>188</v>
      </c>
      <c r="G35" s="3"/>
      <c r="H35" s="29" t="s">
        <v>29</v>
      </c>
      <c r="I35" s="3"/>
      <c r="J35" s="145">
        <v>45</v>
      </c>
      <c r="K35" s="3"/>
      <c r="L35" s="145">
        <v>42</v>
      </c>
      <c r="M35" s="3"/>
      <c r="N35" s="146">
        <v>164</v>
      </c>
      <c r="O35" s="146">
        <v>144</v>
      </c>
      <c r="P35" s="145">
        <f>MEDIAN(N35,O35)</f>
        <v>154</v>
      </c>
      <c r="Q35" s="3"/>
      <c r="R35" s="166">
        <v>15</v>
      </c>
      <c r="S35" s="152">
        <f>(((R35)*(1+0.125)+(((L35)-(R35))/4))*2*4*1*1)</f>
        <v>189</v>
      </c>
      <c r="T35" s="577">
        <f>(S35/S40)</f>
        <v>0.28102208774134074</v>
      </c>
      <c r="U35" s="577"/>
      <c r="V35" s="577"/>
      <c r="W35" s="577"/>
      <c r="X35" s="35">
        <f>'PART-OCC-UNIR'!X171</f>
        <v>3</v>
      </c>
      <c r="Y35" s="36" t="s">
        <v>73</v>
      </c>
      <c r="Z35" s="37">
        <f>X35/S112</f>
        <v>0.96551724137931028</v>
      </c>
      <c r="AA35" s="41"/>
      <c r="AB35" s="41"/>
    </row>
    <row r="36" spans="1:28" ht="12.75" customHeight="1" x14ac:dyDescent="0.2">
      <c r="A36" s="3"/>
      <c r="B36" s="3"/>
      <c r="C36" s="3"/>
      <c r="D36" s="176" t="str">
        <f>'PART-OCC-UNIR'!D172</f>
        <v>100289</v>
      </c>
      <c r="E36" s="3"/>
      <c r="F36" s="28" t="s">
        <v>190</v>
      </c>
      <c r="G36" s="3"/>
      <c r="H36" s="29" t="s">
        <v>48</v>
      </c>
      <c r="I36" s="3"/>
      <c r="J36" s="29">
        <v>40</v>
      </c>
      <c r="K36" s="3"/>
      <c r="L36" s="29">
        <v>35</v>
      </c>
      <c r="M36" s="3"/>
      <c r="N36" s="64">
        <v>83</v>
      </c>
      <c r="O36" s="64">
        <v>69</v>
      </c>
      <c r="P36" s="145">
        <f>MEDIAN(N36,O36)</f>
        <v>76</v>
      </c>
      <c r="Q36" s="3"/>
      <c r="R36" s="65">
        <v>2</v>
      </c>
      <c r="S36" s="152">
        <f>((P36)*2*1*1)</f>
        <v>152</v>
      </c>
      <c r="T36" s="577">
        <f>(S36/S40)</f>
        <v>0.22600718167557562</v>
      </c>
      <c r="U36" s="577"/>
      <c r="V36" s="577"/>
      <c r="W36" s="577"/>
      <c r="X36" s="423">
        <f>'PART-OCC-UNIR'!X172</f>
        <v>4</v>
      </c>
      <c r="Y36" s="36"/>
      <c r="Z36" s="37">
        <f>X36/S112</f>
        <v>1.2873563218390804</v>
      </c>
      <c r="AA36" s="41"/>
      <c r="AB36" s="41"/>
    </row>
    <row r="37" spans="1:28" ht="12" customHeight="1" x14ac:dyDescent="0.2">
      <c r="A37" s="3"/>
      <c r="B37" s="3"/>
      <c r="C37" s="3"/>
      <c r="D37" s="176" t="str">
        <f>'PART-OCC-UNIR'!D173</f>
        <v>15994</v>
      </c>
      <c r="E37" s="3"/>
      <c r="F37" s="28" t="s">
        <v>192</v>
      </c>
      <c r="G37" s="3"/>
      <c r="H37" s="29" t="s">
        <v>20</v>
      </c>
      <c r="I37" s="3"/>
      <c r="J37" s="29">
        <v>50</v>
      </c>
      <c r="K37" s="3"/>
      <c r="L37" s="29">
        <v>37</v>
      </c>
      <c r="M37" s="3"/>
      <c r="N37" s="64">
        <v>157</v>
      </c>
      <c r="O37" s="64">
        <v>134</v>
      </c>
      <c r="P37" s="145">
        <f>MEDIAN(N37,O37)</f>
        <v>145.5</v>
      </c>
      <c r="Q37" s="3"/>
      <c r="R37" s="65">
        <v>8</v>
      </c>
      <c r="S37" s="152">
        <f>(((R37)*(1+0.1)+(((L37)-(R37))/4))*1*4*1*1)</f>
        <v>64.2</v>
      </c>
      <c r="T37" s="577">
        <f>(S37/S40)</f>
        <v>9.5458296470868134E-2</v>
      </c>
      <c r="U37" s="577"/>
      <c r="V37" s="577"/>
      <c r="W37" s="577"/>
      <c r="X37" s="423">
        <f>'PART-OCC-UNIR'!X173</f>
        <v>3</v>
      </c>
      <c r="Y37" s="36"/>
      <c r="Z37" s="37">
        <f>X37/S112</f>
        <v>0.96551724137931028</v>
      </c>
      <c r="AA37" s="41"/>
      <c r="AB37" s="41"/>
    </row>
    <row r="38" spans="1:28" ht="12" customHeight="1" x14ac:dyDescent="0.2">
      <c r="A38" s="3"/>
      <c r="B38" s="3"/>
      <c r="C38" s="3"/>
      <c r="D38" s="176" t="str">
        <f>'PART-OCC-UNIR'!D174</f>
        <v>16009</v>
      </c>
      <c r="E38" s="3"/>
      <c r="F38" s="28" t="s">
        <v>194</v>
      </c>
      <c r="G38" s="3"/>
      <c r="H38" s="29" t="s">
        <v>48</v>
      </c>
      <c r="I38" s="3"/>
      <c r="J38" s="29">
        <v>45</v>
      </c>
      <c r="K38" s="3"/>
      <c r="L38" s="29">
        <v>43</v>
      </c>
      <c r="M38" s="3"/>
      <c r="N38" s="64">
        <v>131</v>
      </c>
      <c r="O38" s="64">
        <v>118</v>
      </c>
      <c r="P38" s="145">
        <f>MEDIAN(N38,O38)</f>
        <v>124.5</v>
      </c>
      <c r="Q38" s="3"/>
      <c r="R38" s="65">
        <v>7</v>
      </c>
      <c r="S38" s="152">
        <f>(((R38)*(1+0.1325)+(((L38)-(R38))/4))*1.5*4*1*1)</f>
        <v>101.56500000000001</v>
      </c>
      <c r="T38" s="577">
        <f>(S38/S40)</f>
        <v>0.15101591715052526</v>
      </c>
      <c r="U38" s="577"/>
      <c r="V38" s="577"/>
      <c r="W38" s="577"/>
      <c r="X38" s="423">
        <f>'PART-OCC-UNIR'!X174</f>
        <v>3</v>
      </c>
      <c r="Y38" s="36"/>
      <c r="Z38" s="37">
        <f>X38/S112</f>
        <v>0.96551724137931028</v>
      </c>
      <c r="AA38" s="41"/>
      <c r="AB38" s="41"/>
    </row>
    <row r="39" spans="1:28" ht="12.75" customHeight="1" x14ac:dyDescent="0.2">
      <c r="A39" s="3"/>
      <c r="B39" s="3"/>
      <c r="C39" s="3"/>
      <c r="D39" s="176" t="str">
        <f>'PART-OCC-UNIR'!D175</f>
        <v>58082</v>
      </c>
      <c r="E39" s="3"/>
      <c r="F39" s="28" t="s">
        <v>196</v>
      </c>
      <c r="G39" s="3"/>
      <c r="H39" s="29" t="s">
        <v>48</v>
      </c>
      <c r="I39" s="3"/>
      <c r="J39" s="44">
        <v>50</v>
      </c>
      <c r="K39" s="3"/>
      <c r="L39" s="44">
        <v>37</v>
      </c>
      <c r="M39" s="3"/>
      <c r="N39" s="154">
        <v>107</v>
      </c>
      <c r="O39" s="154">
        <v>123</v>
      </c>
      <c r="P39" s="145">
        <f>MEDIAN(N39,O39)</f>
        <v>115</v>
      </c>
      <c r="Q39" s="3"/>
      <c r="R39" s="93">
        <v>13</v>
      </c>
      <c r="S39" s="152">
        <f>(((R39)*(1+0.1325)+(((L39)-(R39))/4))*2*4*1*1)</f>
        <v>165.78</v>
      </c>
      <c r="T39" s="577">
        <f>(S39/S40)</f>
        <v>0.24649651696169031</v>
      </c>
      <c r="U39" s="577"/>
      <c r="V39" s="577"/>
      <c r="W39" s="577"/>
      <c r="X39" s="423">
        <f>'PART-OCC-UNIR'!X175</f>
        <v>4</v>
      </c>
      <c r="Y39" s="36"/>
      <c r="Z39" s="37">
        <f>X39/S112</f>
        <v>1.2873563218390804</v>
      </c>
    </row>
    <row r="40" spans="1:28" ht="14.1" customHeight="1" x14ac:dyDescent="0.2">
      <c r="A40" s="3"/>
      <c r="B40" s="3"/>
      <c r="C40" s="3"/>
      <c r="D40" s="466" t="s">
        <v>321</v>
      </c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90">
        <f>SUM(S35:S39)</f>
        <v>672.54499999999996</v>
      </c>
      <c r="T40" s="494">
        <f>SUM(T35:W39)</f>
        <v>1.0000000000000002</v>
      </c>
      <c r="U40" s="494"/>
      <c r="V40" s="494"/>
      <c r="W40" s="494"/>
      <c r="X40" s="477"/>
      <c r="Y40" s="477"/>
      <c r="Z40" s="477"/>
    </row>
    <row r="41" spans="1:28" ht="12.75" customHeight="1" x14ac:dyDescent="0.2">
      <c r="A41" s="3"/>
      <c r="B41" s="3"/>
      <c r="C41" s="3"/>
      <c r="D41" s="478" t="s">
        <v>322</v>
      </c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90">
        <f>(S40+S93+S91+S92)</f>
        <v>824.54499999999996</v>
      </c>
      <c r="T41" s="479">
        <f>((S41)/S111)</f>
        <v>0.15612343473260515</v>
      </c>
      <c r="U41" s="479"/>
      <c r="V41" s="479"/>
      <c r="W41" s="479"/>
      <c r="X41" s="477"/>
      <c r="Y41" s="477"/>
      <c r="Z41" s="477"/>
    </row>
    <row r="42" spans="1:28" ht="13.5" customHeight="1" x14ac:dyDescent="0.2">
      <c r="A42" s="3"/>
      <c r="B42" s="3"/>
      <c r="C42" s="3"/>
      <c r="D42" s="480" t="s">
        <v>323</v>
      </c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50">
        <f>SUM(Z35:Z39)/3</f>
        <v>1.8237547892720307</v>
      </c>
      <c r="T42" s="481" t="s">
        <v>33</v>
      </c>
      <c r="U42" s="481"/>
      <c r="V42" s="481"/>
      <c r="W42" s="481"/>
      <c r="X42" s="52" t="s">
        <v>34</v>
      </c>
      <c r="Y42" s="52" t="s">
        <v>35</v>
      </c>
      <c r="Z42" s="53" t="s">
        <v>36</v>
      </c>
    </row>
    <row r="43" spans="1:28" ht="13.5" customHeight="1" x14ac:dyDescent="0.2">
      <c r="A43" s="3"/>
      <c r="B43" s="3"/>
      <c r="C43" s="3"/>
      <c r="D43" s="482" t="s">
        <v>324</v>
      </c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56">
        <f>S41/SUM(T43:Z43)</f>
        <v>9.1514428412874587</v>
      </c>
      <c r="T43" s="508">
        <f>(53)*1.7</f>
        <v>90.1</v>
      </c>
      <c r="U43" s="508"/>
      <c r="V43" s="508"/>
      <c r="W43" s="508"/>
      <c r="X43" s="54">
        <f>0*1</f>
        <v>0</v>
      </c>
      <c r="Y43" s="54">
        <f>0*0.58</f>
        <v>0</v>
      </c>
      <c r="Z43" s="55">
        <f>0*1</f>
        <v>0</v>
      </c>
    </row>
    <row r="44" spans="1:28" ht="13.5" customHeight="1" x14ac:dyDescent="0.2">
      <c r="A44" s="3"/>
      <c r="B44" s="3"/>
      <c r="C44" s="3"/>
      <c r="D44" s="484" t="s">
        <v>325</v>
      </c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56">
        <f>S43/S114</f>
        <v>0.87789366774708899</v>
      </c>
      <c r="T44" s="539"/>
      <c r="U44" s="539"/>
      <c r="V44" s="539"/>
      <c r="W44" s="539"/>
      <c r="X44" s="539"/>
      <c r="Y44" s="539"/>
      <c r="Z44" s="539"/>
    </row>
    <row r="45" spans="1:28" ht="13.5" customHeight="1" x14ac:dyDescent="0.2">
      <c r="A45" s="3"/>
      <c r="B45" s="3"/>
      <c r="C45" s="3"/>
      <c r="D45" s="486" t="s">
        <v>326</v>
      </c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57">
        <f>S42+S44+S102</f>
        <v>3.7256724810431439</v>
      </c>
      <c r="T45" s="539"/>
      <c r="U45" s="539"/>
      <c r="V45" s="539"/>
      <c r="W45" s="539"/>
      <c r="X45" s="539"/>
      <c r="Y45" s="539"/>
      <c r="Z45" s="539"/>
    </row>
    <row r="46" spans="1:28" ht="12.75" customHeight="1" x14ac:dyDescent="0.2">
      <c r="A46" s="3"/>
      <c r="B46" s="3"/>
      <c r="C46" s="3"/>
      <c r="D46" s="471" t="s">
        <v>327</v>
      </c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58">
        <f>S41/S111</f>
        <v>0.15612343473260515</v>
      </c>
      <c r="T46" s="72"/>
      <c r="U46" s="72"/>
      <c r="V46" s="72"/>
      <c r="W46" s="72"/>
      <c r="X46" s="72"/>
      <c r="Y46" s="72"/>
      <c r="Z46" s="72"/>
    </row>
    <row r="47" spans="1:28" ht="14.25" customHeight="1" x14ac:dyDescent="0.2">
      <c r="A47" s="3"/>
      <c r="B47" s="3"/>
      <c r="C47" s="3"/>
      <c r="D47" s="472" t="s">
        <v>328</v>
      </c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58">
        <f>S45/S115</f>
        <v>0.25353096643949691</v>
      </c>
      <c r="T47" s="72"/>
      <c r="U47" s="72"/>
      <c r="V47" s="72"/>
      <c r="W47" s="72"/>
      <c r="X47" s="72"/>
      <c r="Y47" s="72"/>
      <c r="Z47" s="72"/>
    </row>
    <row r="48" spans="1:28" ht="14.25" customHeight="1" x14ac:dyDescent="0.2">
      <c r="A48" s="3"/>
      <c r="B48" s="3"/>
      <c r="C48" s="3"/>
      <c r="D48" s="460" t="s">
        <v>329</v>
      </c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62">
        <f>((S46*0.9)+(S47*0.1))</f>
        <v>0.16586418790329432</v>
      </c>
      <c r="T48" s="72"/>
      <c r="U48" s="72"/>
      <c r="V48" s="72"/>
      <c r="W48" s="72"/>
      <c r="X48" s="72"/>
      <c r="Y48" s="72"/>
      <c r="Z48" s="72"/>
    </row>
    <row r="49" spans="1:26" ht="15.75" customHeight="1" thickBot="1" x14ac:dyDescent="0.25">
      <c r="A49" s="3"/>
      <c r="B49" s="3"/>
      <c r="C49" s="3"/>
      <c r="D49" s="499" t="s">
        <v>197</v>
      </c>
      <c r="E49" s="499"/>
      <c r="F49" s="499"/>
      <c r="G49" s="178"/>
      <c r="H49" s="179"/>
      <c r="I49" s="178"/>
      <c r="J49" s="179"/>
      <c r="K49" s="178"/>
      <c r="L49" s="179"/>
      <c r="M49" s="178"/>
      <c r="N49" s="264"/>
      <c r="O49" s="264"/>
      <c r="P49" s="179"/>
      <c r="Q49" s="178"/>
      <c r="R49" s="179"/>
      <c r="S49" s="180"/>
      <c r="T49" s="180"/>
      <c r="U49" s="180"/>
      <c r="V49" s="180"/>
      <c r="W49" s="180"/>
      <c r="X49" s="181"/>
      <c r="Y49" s="182"/>
      <c r="Z49" s="183"/>
    </row>
    <row r="50" spans="1:26" ht="14.25" customHeight="1" thickBot="1" x14ac:dyDescent="0.25">
      <c r="A50" s="3"/>
      <c r="B50" s="3"/>
      <c r="C50" s="3"/>
      <c r="D50" s="436" t="str">
        <f>'PART-OCC-UNIR'!D177</f>
        <v>116712</v>
      </c>
      <c r="E50" s="19"/>
      <c r="F50" s="265" t="s">
        <v>199</v>
      </c>
      <c r="G50" s="19"/>
      <c r="H50" s="266" t="s">
        <v>48</v>
      </c>
      <c r="I50" s="19"/>
      <c r="J50" s="145">
        <v>0</v>
      </c>
      <c r="K50" s="3"/>
      <c r="L50" s="145">
        <v>0</v>
      </c>
      <c r="M50" s="3"/>
      <c r="N50" s="146">
        <v>61</v>
      </c>
      <c r="O50" s="146">
        <v>62</v>
      </c>
      <c r="P50" s="145">
        <f t="shared" ref="P50:P60" si="0">MEDIAN(N50,O50)</f>
        <v>61.5</v>
      </c>
      <c r="Q50" s="3"/>
      <c r="R50" s="147">
        <v>0</v>
      </c>
      <c r="S50" s="267">
        <f>((P50)*1*1*1)</f>
        <v>61.5</v>
      </c>
      <c r="T50" s="579">
        <f>(S50/S61)</f>
        <v>6.9277040574943119E-2</v>
      </c>
      <c r="U50" s="579"/>
      <c r="V50" s="579"/>
      <c r="W50" s="579"/>
      <c r="X50" s="423">
        <f>'PART-OCC-UNIR'!X177</f>
        <v>2</v>
      </c>
      <c r="Y50" s="186" t="s">
        <v>73</v>
      </c>
      <c r="Z50" s="120">
        <f>X50/S112</f>
        <v>0.64367816091954022</v>
      </c>
    </row>
    <row r="51" spans="1:26" ht="15.75" customHeight="1" thickBot="1" x14ac:dyDescent="0.25">
      <c r="A51" s="3"/>
      <c r="B51" s="3"/>
      <c r="C51" s="3"/>
      <c r="D51" s="437" t="str">
        <f>'PART-OCC-UNIR'!D178</f>
        <v>123567</v>
      </c>
      <c r="E51" s="3"/>
      <c r="F51" s="28" t="s">
        <v>201</v>
      </c>
      <c r="G51" s="3"/>
      <c r="H51" s="29" t="s">
        <v>48</v>
      </c>
      <c r="I51" s="3"/>
      <c r="J51" s="29">
        <v>20</v>
      </c>
      <c r="K51" s="3"/>
      <c r="L51" s="29">
        <v>7</v>
      </c>
      <c r="M51" s="3"/>
      <c r="N51" s="64">
        <v>7</v>
      </c>
      <c r="O51" s="64">
        <v>14</v>
      </c>
      <c r="P51" s="145">
        <f t="shared" si="0"/>
        <v>10.5</v>
      </c>
      <c r="Q51" s="3"/>
      <c r="R51" s="65">
        <v>0</v>
      </c>
      <c r="S51" s="188">
        <f>((P51)*1.5*1*1)</f>
        <v>15.75</v>
      </c>
      <c r="T51" s="579">
        <f>(S51/S61)</f>
        <v>1.7741681122851283E-2</v>
      </c>
      <c r="U51" s="579"/>
      <c r="V51" s="579"/>
      <c r="W51" s="579"/>
      <c r="X51" s="423">
        <f>'PART-OCC-UNIR'!X178</f>
        <v>3</v>
      </c>
      <c r="Y51" s="376">
        <v>0</v>
      </c>
      <c r="Z51" s="37">
        <f>X51/S112</f>
        <v>0.96551724137931028</v>
      </c>
    </row>
    <row r="52" spans="1:26" ht="12" customHeight="1" thickBot="1" x14ac:dyDescent="0.25">
      <c r="A52" s="3"/>
      <c r="B52" s="3"/>
      <c r="C52" s="3"/>
      <c r="D52" s="437" t="str">
        <f>'PART-OCC-UNIR'!D179</f>
        <v>85458</v>
      </c>
      <c r="E52" s="3"/>
      <c r="F52" s="28" t="s">
        <v>203</v>
      </c>
      <c r="G52" s="3"/>
      <c r="H52" s="29" t="s">
        <v>22</v>
      </c>
      <c r="I52" s="3"/>
      <c r="J52" s="29">
        <v>45</v>
      </c>
      <c r="K52" s="3"/>
      <c r="L52" s="29">
        <v>41</v>
      </c>
      <c r="M52" s="3"/>
      <c r="N52" s="64">
        <v>124</v>
      </c>
      <c r="O52" s="64">
        <v>102</v>
      </c>
      <c r="P52" s="145">
        <f t="shared" si="0"/>
        <v>113</v>
      </c>
      <c r="Q52" s="3"/>
      <c r="R52" s="65">
        <v>3</v>
      </c>
      <c r="S52" s="188">
        <f>((P52)*1*1.15*1)</f>
        <v>129.94999999999999</v>
      </c>
      <c r="T52" s="579">
        <f>(S52/S61)</f>
        <v>0.14638294996282694</v>
      </c>
      <c r="U52" s="579"/>
      <c r="V52" s="579"/>
      <c r="W52" s="579"/>
      <c r="X52" s="423">
        <f>'PART-OCC-UNIR'!X179</f>
        <v>2</v>
      </c>
      <c r="Y52" s="376"/>
      <c r="Z52" s="37">
        <f>X52/S112</f>
        <v>0.64367816091954022</v>
      </c>
    </row>
    <row r="53" spans="1:26" ht="12.75" customHeight="1" thickBot="1" x14ac:dyDescent="0.25">
      <c r="A53" s="3"/>
      <c r="B53" s="3"/>
      <c r="C53" s="3"/>
      <c r="D53" s="437">
        <f>'PART-OCC-UNIR'!D180</f>
        <v>116732</v>
      </c>
      <c r="E53" s="3"/>
      <c r="F53" s="28" t="s">
        <v>204</v>
      </c>
      <c r="G53" s="3"/>
      <c r="H53" s="29" t="s">
        <v>22</v>
      </c>
      <c r="I53" s="3"/>
      <c r="J53" s="29">
        <v>50</v>
      </c>
      <c r="K53" s="3"/>
      <c r="L53" s="29">
        <v>45</v>
      </c>
      <c r="M53" s="3"/>
      <c r="N53" s="64">
        <v>83</v>
      </c>
      <c r="O53" s="64">
        <v>115</v>
      </c>
      <c r="P53" s="145">
        <f t="shared" si="0"/>
        <v>99</v>
      </c>
      <c r="Q53" s="3"/>
      <c r="R53" s="65">
        <v>9</v>
      </c>
      <c r="S53" s="188">
        <f>((P53)*1*1.15*1)</f>
        <v>113.85</v>
      </c>
      <c r="T53" s="579">
        <f>(S53/S61)</f>
        <v>0.12824700925946786</v>
      </c>
      <c r="U53" s="579"/>
      <c r="V53" s="579"/>
      <c r="W53" s="579"/>
      <c r="X53" s="423">
        <f>'PART-OCC-UNIR'!X180</f>
        <v>3</v>
      </c>
      <c r="Y53" s="376" t="s">
        <v>73</v>
      </c>
      <c r="Z53" s="37">
        <f>X53/S112</f>
        <v>0.96551724137931028</v>
      </c>
    </row>
    <row r="54" spans="1:26" ht="13.5" customHeight="1" thickBot="1" x14ac:dyDescent="0.25">
      <c r="A54" s="3"/>
      <c r="B54" s="3"/>
      <c r="C54" s="3"/>
      <c r="D54" s="437" t="str">
        <f>'PART-OCC-UNIR'!D181</f>
        <v>15992</v>
      </c>
      <c r="E54" s="3"/>
      <c r="F54" s="28" t="s">
        <v>99</v>
      </c>
      <c r="G54" s="3"/>
      <c r="H54" s="29" t="s">
        <v>20</v>
      </c>
      <c r="I54" s="3"/>
      <c r="J54" s="29">
        <v>50</v>
      </c>
      <c r="K54" s="3"/>
      <c r="L54" s="29">
        <v>48</v>
      </c>
      <c r="M54" s="3"/>
      <c r="N54" s="64">
        <v>139</v>
      </c>
      <c r="O54" s="64">
        <v>110</v>
      </c>
      <c r="P54" s="145">
        <f t="shared" si="0"/>
        <v>124.5</v>
      </c>
      <c r="Q54" s="3"/>
      <c r="R54" s="65">
        <v>16</v>
      </c>
      <c r="S54" s="188">
        <f>(((R54)*(1+0.1)+(((L54)-(R54))/4))*1*4*1*1)</f>
        <v>102.4</v>
      </c>
      <c r="T54" s="579">
        <f>(S54/S61)</f>
        <v>0.11534908869714106</v>
      </c>
      <c r="U54" s="579"/>
      <c r="V54" s="579"/>
      <c r="W54" s="579"/>
      <c r="X54" s="423">
        <f>'PART-OCC-UNIR'!X181</f>
        <v>2</v>
      </c>
      <c r="Y54" s="376"/>
      <c r="Z54" s="37">
        <f>X54/S112</f>
        <v>0.64367816091954022</v>
      </c>
    </row>
    <row r="55" spans="1:26" ht="12" customHeight="1" thickBot="1" x14ac:dyDescent="0.25">
      <c r="A55" s="3"/>
      <c r="B55" s="3"/>
      <c r="C55" s="3"/>
      <c r="D55" s="437" t="str">
        <f>'PART-OCC-UNIR'!D182</f>
        <v>20940</v>
      </c>
      <c r="E55" s="3"/>
      <c r="F55" s="28" t="s">
        <v>207</v>
      </c>
      <c r="G55" s="3"/>
      <c r="H55" s="29" t="s">
        <v>20</v>
      </c>
      <c r="I55" s="3"/>
      <c r="J55" s="29">
        <v>25</v>
      </c>
      <c r="K55" s="3"/>
      <c r="L55" s="29">
        <v>23</v>
      </c>
      <c r="M55" s="3"/>
      <c r="N55" s="64">
        <v>52</v>
      </c>
      <c r="O55" s="64">
        <v>65</v>
      </c>
      <c r="P55" s="145">
        <f t="shared" si="0"/>
        <v>58.5</v>
      </c>
      <c r="Q55" s="3"/>
      <c r="R55" s="65">
        <v>5</v>
      </c>
      <c r="S55" s="188">
        <f>(((R55)*(1+0.115)+(((L55)-(R55))/4))*1*4*1*1)</f>
        <v>40.299999999999997</v>
      </c>
      <c r="T55" s="579">
        <f>(S55/S61)</f>
        <v>4.5396174555613129E-2</v>
      </c>
      <c r="U55" s="579"/>
      <c r="V55" s="579"/>
      <c r="W55" s="579"/>
      <c r="X55" s="423">
        <f>'PART-OCC-UNIR'!X182</f>
        <v>3</v>
      </c>
      <c r="Y55" s="376">
        <v>0</v>
      </c>
      <c r="Z55" s="37">
        <f>X55/S112</f>
        <v>0.96551724137931028</v>
      </c>
    </row>
    <row r="56" spans="1:26" ht="14.25" customHeight="1" thickBot="1" x14ac:dyDescent="0.25">
      <c r="A56" s="3"/>
      <c r="B56" s="3"/>
      <c r="C56" s="3"/>
      <c r="D56" s="437" t="str">
        <f>'PART-OCC-UNIR'!D183</f>
        <v>20941</v>
      </c>
      <c r="E56" s="3"/>
      <c r="F56" s="28" t="s">
        <v>209</v>
      </c>
      <c r="G56" s="3"/>
      <c r="H56" s="29" t="s">
        <v>20</v>
      </c>
      <c r="I56" s="3"/>
      <c r="J56" s="29">
        <v>25</v>
      </c>
      <c r="K56" s="3"/>
      <c r="L56" s="29">
        <v>22</v>
      </c>
      <c r="M56" s="3"/>
      <c r="N56" s="64">
        <v>61</v>
      </c>
      <c r="O56" s="64">
        <v>65</v>
      </c>
      <c r="P56" s="145">
        <f t="shared" si="0"/>
        <v>63</v>
      </c>
      <c r="Q56" s="3"/>
      <c r="R56" s="65">
        <v>15</v>
      </c>
      <c r="S56" s="188">
        <f>(((R56)*(1+0.115)+(((L56)-(R56))/4))*1*4*1*1)</f>
        <v>73.900000000000006</v>
      </c>
      <c r="T56" s="579">
        <f>(S56/S61)</f>
        <v>8.3245094284362539E-2</v>
      </c>
      <c r="U56" s="579"/>
      <c r="V56" s="579"/>
      <c r="W56" s="579"/>
      <c r="X56" s="423">
        <f>'PART-OCC-UNIR'!X183</f>
        <v>3</v>
      </c>
      <c r="Y56" s="376">
        <v>0</v>
      </c>
      <c r="Z56" s="37">
        <f>X56/S112</f>
        <v>0.96551724137931028</v>
      </c>
    </row>
    <row r="57" spans="1:26" ht="15" customHeight="1" thickBot="1" x14ac:dyDescent="0.25">
      <c r="A57" s="3"/>
      <c r="B57" s="3"/>
      <c r="C57" s="3"/>
      <c r="D57" s="437">
        <f>'PART-OCC-UNIR'!D184</f>
        <v>28509</v>
      </c>
      <c r="E57" s="3"/>
      <c r="F57" s="28" t="s">
        <v>210</v>
      </c>
      <c r="G57" s="3"/>
      <c r="H57" s="29" t="s">
        <v>20</v>
      </c>
      <c r="I57" s="3"/>
      <c r="J57" s="29">
        <v>50</v>
      </c>
      <c r="K57" s="3"/>
      <c r="L57" s="29">
        <v>45</v>
      </c>
      <c r="M57" s="3"/>
      <c r="N57" s="64">
        <v>139</v>
      </c>
      <c r="O57" s="64">
        <v>127</v>
      </c>
      <c r="P57" s="145">
        <f t="shared" si="0"/>
        <v>133</v>
      </c>
      <c r="Q57" s="3"/>
      <c r="R57" s="65">
        <v>19</v>
      </c>
      <c r="S57" s="188">
        <f>(((R57)*(1+0.115)+(((L57)-(R57))/4))*1*4*1*1)</f>
        <v>110.74</v>
      </c>
      <c r="T57" s="579">
        <f>(S57/S61)</f>
        <v>0.12474373127266992</v>
      </c>
      <c r="U57" s="579"/>
      <c r="V57" s="579"/>
      <c r="W57" s="579"/>
      <c r="X57" s="423">
        <f>'PART-OCC-UNIR'!X184</f>
        <v>4</v>
      </c>
      <c r="Y57" s="376"/>
      <c r="Z57" s="37">
        <f>X57/S112</f>
        <v>1.2873563218390804</v>
      </c>
    </row>
    <row r="58" spans="1:26" ht="13.5" customHeight="1" thickBot="1" x14ac:dyDescent="0.25">
      <c r="A58" s="3"/>
      <c r="B58" s="3"/>
      <c r="C58" s="3"/>
      <c r="D58" s="437" t="str">
        <f>'PART-OCC-UNIR'!D185</f>
        <v>123553</v>
      </c>
      <c r="E58" s="3"/>
      <c r="F58" s="28" t="s">
        <v>212</v>
      </c>
      <c r="G58" s="3"/>
      <c r="H58" s="29" t="s">
        <v>48</v>
      </c>
      <c r="I58" s="3"/>
      <c r="J58" s="29">
        <v>20</v>
      </c>
      <c r="K58" s="3"/>
      <c r="L58" s="29">
        <v>10</v>
      </c>
      <c r="M58" s="3"/>
      <c r="N58" s="64">
        <v>18</v>
      </c>
      <c r="O58" s="64">
        <v>26</v>
      </c>
      <c r="P58" s="145">
        <f t="shared" si="0"/>
        <v>22</v>
      </c>
      <c r="Q58" s="3"/>
      <c r="R58" s="65">
        <v>0</v>
      </c>
      <c r="S58" s="188">
        <f>((P58)*1.5*1*1)</f>
        <v>33</v>
      </c>
      <c r="T58" s="579">
        <f>(S58/S61)</f>
        <v>3.7173046162164596E-2</v>
      </c>
      <c r="U58" s="579"/>
      <c r="V58" s="579"/>
      <c r="W58" s="579"/>
      <c r="X58" s="423">
        <f>'PART-OCC-UNIR'!X185</f>
        <v>4</v>
      </c>
      <c r="Y58" s="376" t="s">
        <v>73</v>
      </c>
      <c r="Z58" s="37">
        <f>X58/S112</f>
        <v>1.2873563218390804</v>
      </c>
    </row>
    <row r="59" spans="1:26" ht="12.75" customHeight="1" thickBot="1" x14ac:dyDescent="0.25">
      <c r="A59" s="3"/>
      <c r="B59" s="3"/>
      <c r="C59" s="3"/>
      <c r="D59" s="437">
        <f>'PART-OCC-UNIR'!D186</f>
        <v>62083</v>
      </c>
      <c r="E59" s="3"/>
      <c r="F59" s="28" t="s">
        <v>145</v>
      </c>
      <c r="G59" s="3"/>
      <c r="H59" s="29" t="s">
        <v>48</v>
      </c>
      <c r="I59" s="3"/>
      <c r="J59" s="29">
        <v>45</v>
      </c>
      <c r="K59" s="3"/>
      <c r="L59" s="29">
        <v>41</v>
      </c>
      <c r="M59" s="3"/>
      <c r="N59" s="64">
        <v>172</v>
      </c>
      <c r="O59" s="64">
        <v>149</v>
      </c>
      <c r="P59" s="145">
        <f t="shared" si="0"/>
        <v>160.5</v>
      </c>
      <c r="Q59" s="3"/>
      <c r="R59" s="65">
        <v>44</v>
      </c>
      <c r="S59" s="188">
        <f>(((R59)*(1+0.1)+(((L59)-(R59))/4))*1*4*1*1)</f>
        <v>190.60000000000002</v>
      </c>
      <c r="T59" s="579">
        <f>(S59/S61)</f>
        <v>0.21470250298510826</v>
      </c>
      <c r="U59" s="579"/>
      <c r="V59" s="579"/>
      <c r="W59" s="579"/>
      <c r="X59" s="423">
        <f>'PART-OCC-UNIR'!X186</f>
        <v>5</v>
      </c>
      <c r="Y59" s="376"/>
      <c r="Z59" s="37">
        <f>X59/S112</f>
        <v>1.6091954022988506</v>
      </c>
    </row>
    <row r="60" spans="1:26" ht="11.25" customHeight="1" thickBot="1" x14ac:dyDescent="0.25">
      <c r="A60" s="3"/>
      <c r="B60" s="3"/>
      <c r="C60" s="3"/>
      <c r="D60" s="438" t="str">
        <f>'PART-OCC-UNIR'!D187</f>
        <v>123584</v>
      </c>
      <c r="E60" s="67"/>
      <c r="F60" s="68" t="s">
        <v>214</v>
      </c>
      <c r="G60" s="67"/>
      <c r="H60" s="69" t="s">
        <v>48</v>
      </c>
      <c r="I60" s="67"/>
      <c r="J60" s="44">
        <v>20</v>
      </c>
      <c r="K60" s="3"/>
      <c r="L60" s="44">
        <v>4</v>
      </c>
      <c r="M60" s="3"/>
      <c r="N60" s="154">
        <v>8</v>
      </c>
      <c r="O60" s="154">
        <v>13</v>
      </c>
      <c r="P60" s="145">
        <f t="shared" si="0"/>
        <v>10.5</v>
      </c>
      <c r="Q60" s="3"/>
      <c r="R60" s="93">
        <v>0</v>
      </c>
      <c r="S60" s="268">
        <f>((P60)*1.5*1*1)</f>
        <v>15.75</v>
      </c>
      <c r="T60" s="579">
        <f>(S60/S61)</f>
        <v>1.7741681122851283E-2</v>
      </c>
      <c r="U60" s="579"/>
      <c r="V60" s="579"/>
      <c r="W60" s="579"/>
      <c r="X60" s="423">
        <f>'PART-OCC-UNIR'!X187</f>
        <v>3</v>
      </c>
      <c r="Y60" s="420" t="s">
        <v>73</v>
      </c>
      <c r="Z60" s="55">
        <f>X60/S112</f>
        <v>0.96551724137931028</v>
      </c>
    </row>
    <row r="61" spans="1:26" ht="14.1" customHeight="1" thickBot="1" x14ac:dyDescent="0.25">
      <c r="A61" s="3"/>
      <c r="B61" s="3"/>
      <c r="C61" s="3"/>
      <c r="D61" s="466" t="s">
        <v>330</v>
      </c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90">
        <f>SUM(S50:S60)</f>
        <v>887.74</v>
      </c>
      <c r="T61" s="479">
        <f>SUM(T50:W60)</f>
        <v>0.99999999999999989</v>
      </c>
      <c r="U61" s="479"/>
      <c r="V61" s="479"/>
      <c r="W61" s="479"/>
      <c r="X61" s="477"/>
      <c r="Y61" s="477"/>
      <c r="Z61" s="477"/>
    </row>
    <row r="62" spans="1:26" ht="12.75" customHeight="1" x14ac:dyDescent="0.2">
      <c r="A62" s="3"/>
      <c r="B62" s="3"/>
      <c r="C62" s="3"/>
      <c r="D62" s="478" t="s">
        <v>331</v>
      </c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90">
        <f>(S61+S94+S95+S96+S99)</f>
        <v>1026.74</v>
      </c>
      <c r="T62" s="479">
        <f>S62/S111</f>
        <v>0.19440803761754061</v>
      </c>
      <c r="U62" s="479"/>
      <c r="V62" s="479"/>
      <c r="W62" s="479"/>
      <c r="X62" s="477"/>
      <c r="Y62" s="477"/>
      <c r="Z62" s="477"/>
    </row>
    <row r="63" spans="1:26" ht="13.5" customHeight="1" x14ac:dyDescent="0.2">
      <c r="A63" s="3"/>
      <c r="B63" s="3"/>
      <c r="C63" s="3"/>
      <c r="D63" s="480" t="s">
        <v>332</v>
      </c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50">
        <f>SUM(Z50:Z60)/11</f>
        <v>0.99477533960292563</v>
      </c>
      <c r="T63" s="481" t="s">
        <v>33</v>
      </c>
      <c r="U63" s="481"/>
      <c r="V63" s="481"/>
      <c r="W63" s="481"/>
      <c r="X63" s="52" t="s">
        <v>34</v>
      </c>
      <c r="Y63" s="52" t="s">
        <v>35</v>
      </c>
      <c r="Z63" s="53" t="s">
        <v>36</v>
      </c>
    </row>
    <row r="64" spans="1:26" ht="13.5" customHeight="1" x14ac:dyDescent="0.2">
      <c r="A64" s="3"/>
      <c r="B64" s="3"/>
      <c r="C64" s="3"/>
      <c r="D64" s="482" t="s">
        <v>333</v>
      </c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56">
        <f>S62/SUM(T64:Z64)</f>
        <v>5.3088934850051706</v>
      </c>
      <c r="T64" s="508">
        <f>(112)*1.7</f>
        <v>190.4</v>
      </c>
      <c r="U64" s="508"/>
      <c r="V64" s="508"/>
      <c r="W64" s="508"/>
      <c r="X64" s="54">
        <f>3*1</f>
        <v>3</v>
      </c>
      <c r="Y64" s="54">
        <f>0*0.58</f>
        <v>0</v>
      </c>
      <c r="Z64" s="55">
        <f>0*1</f>
        <v>0</v>
      </c>
    </row>
    <row r="65" spans="1:26" ht="13.5" customHeight="1" x14ac:dyDescent="0.2">
      <c r="A65" s="3"/>
      <c r="B65" s="3"/>
      <c r="C65" s="3"/>
      <c r="D65" s="484" t="s">
        <v>334</v>
      </c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56">
        <f>S64/S114</f>
        <v>0.50927968999630868</v>
      </c>
      <c r="T65" s="539"/>
      <c r="U65" s="539"/>
      <c r="V65" s="539"/>
      <c r="W65" s="539"/>
      <c r="X65" s="539"/>
      <c r="Y65" s="539"/>
      <c r="Z65" s="539"/>
    </row>
    <row r="66" spans="1:26" ht="13.5" customHeight="1" x14ac:dyDescent="0.2">
      <c r="A66" s="3"/>
      <c r="B66" s="3"/>
      <c r="C66" s="3"/>
      <c r="D66" s="486" t="s">
        <v>335</v>
      </c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57">
        <f>S63+S65+S84</f>
        <v>1.5040550295992343</v>
      </c>
      <c r="T66" s="539"/>
      <c r="U66" s="539"/>
      <c r="V66" s="539"/>
      <c r="W66" s="539"/>
      <c r="X66" s="539"/>
      <c r="Y66" s="539"/>
      <c r="Z66" s="539"/>
    </row>
    <row r="67" spans="1:26" ht="12.75" customHeight="1" x14ac:dyDescent="0.2">
      <c r="A67" s="3"/>
      <c r="B67" s="3"/>
      <c r="C67" s="3"/>
      <c r="D67" s="471" t="s">
        <v>336</v>
      </c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58">
        <f>S62/S111</f>
        <v>0.19440803761754061</v>
      </c>
      <c r="T67" s="72"/>
      <c r="U67" s="72"/>
      <c r="V67" s="72"/>
      <c r="W67" s="72"/>
      <c r="X67" s="72"/>
      <c r="Y67" s="72"/>
      <c r="Z67" s="72"/>
    </row>
    <row r="68" spans="1:26" ht="14.25" customHeight="1" x14ac:dyDescent="0.2">
      <c r="A68" s="3"/>
      <c r="B68" s="3"/>
      <c r="C68" s="3"/>
      <c r="D68" s="472" t="s">
        <v>337</v>
      </c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58">
        <f>S66/S115</f>
        <v>0.1023505225359245</v>
      </c>
      <c r="T68" s="72"/>
      <c r="U68" s="72"/>
      <c r="V68" s="72"/>
      <c r="W68" s="72"/>
      <c r="X68" s="72"/>
      <c r="Y68" s="72"/>
      <c r="Z68" s="72"/>
    </row>
    <row r="69" spans="1:26" ht="14.25" customHeight="1" x14ac:dyDescent="0.2">
      <c r="A69" s="3"/>
      <c r="B69" s="3"/>
      <c r="C69" s="3"/>
      <c r="D69" s="460" t="s">
        <v>338</v>
      </c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62">
        <f>((S67*0.9)+(S68*0.1))</f>
        <v>0.185202286109379</v>
      </c>
      <c r="T69" s="72"/>
      <c r="U69" s="72"/>
      <c r="V69" s="72"/>
      <c r="W69" s="72"/>
      <c r="X69" s="72"/>
      <c r="Y69" s="72"/>
      <c r="Z69" s="72"/>
    </row>
    <row r="70" spans="1:26" ht="14.25" customHeight="1" x14ac:dyDescent="0.2">
      <c r="A70" s="3"/>
      <c r="B70" s="3"/>
      <c r="C70" s="3"/>
      <c r="D70" s="489" t="s">
        <v>215</v>
      </c>
      <c r="E70" s="489"/>
      <c r="F70" s="489"/>
      <c r="G70" s="193"/>
      <c r="H70" s="194"/>
      <c r="I70" s="193"/>
      <c r="J70" s="194"/>
      <c r="K70" s="193"/>
      <c r="L70" s="194"/>
      <c r="M70" s="193"/>
      <c r="N70" s="269"/>
      <c r="O70" s="269"/>
      <c r="P70" s="194"/>
      <c r="Q70" s="193"/>
      <c r="R70" s="194"/>
      <c r="S70" s="195"/>
      <c r="T70" s="195"/>
      <c r="U70" s="195"/>
      <c r="V70" s="195"/>
      <c r="W70" s="195"/>
      <c r="X70" s="196"/>
      <c r="Y70" s="197"/>
      <c r="Z70" s="198"/>
    </row>
    <row r="71" spans="1:26" ht="15" customHeight="1" x14ac:dyDescent="0.2">
      <c r="A71" s="3"/>
      <c r="B71" s="3"/>
      <c r="C71" s="3"/>
      <c r="D71" s="200" t="str">
        <f>'PART-OCC-UNIR'!D189</f>
        <v>15990</v>
      </c>
      <c r="E71" s="3"/>
      <c r="F71" s="28" t="s">
        <v>217</v>
      </c>
      <c r="G71" s="3"/>
      <c r="H71" s="29" t="s">
        <v>48</v>
      </c>
      <c r="I71" s="3"/>
      <c r="J71" s="145">
        <v>45</v>
      </c>
      <c r="K71" s="3"/>
      <c r="L71" s="145">
        <v>43</v>
      </c>
      <c r="M71" s="3"/>
      <c r="N71" s="146">
        <v>181</v>
      </c>
      <c r="O71" s="146">
        <v>137</v>
      </c>
      <c r="P71" s="145">
        <f>MEDIAN(N71,O71)</f>
        <v>159</v>
      </c>
      <c r="Q71" s="3"/>
      <c r="R71" s="166">
        <v>19</v>
      </c>
      <c r="S71" s="270">
        <f>(((R71)*(1+0.066)+(((L71)-(R71))/4))*1.5*5*1*1)</f>
        <v>196.905</v>
      </c>
      <c r="T71" s="577">
        <f>(S71/S75)</f>
        <v>0.11743078230531825</v>
      </c>
      <c r="U71" s="577"/>
      <c r="V71" s="577"/>
      <c r="W71" s="577"/>
      <c r="X71" s="35">
        <f>'PART-OCC-UNIR'!X189</f>
        <v>3</v>
      </c>
      <c r="Y71" s="36"/>
      <c r="Z71" s="37">
        <f>X71/S112</f>
        <v>0.96551724137931028</v>
      </c>
    </row>
    <row r="72" spans="1:26" ht="12.75" customHeight="1" x14ac:dyDescent="0.2">
      <c r="A72" s="3"/>
      <c r="B72" s="3"/>
      <c r="C72" s="3"/>
      <c r="D72" s="200" t="str">
        <f>'PART-OCC-UNIR'!D190</f>
        <v>15998</v>
      </c>
      <c r="E72" s="3"/>
      <c r="F72" s="28" t="s">
        <v>219</v>
      </c>
      <c r="G72" s="3"/>
      <c r="H72" s="29" t="s">
        <v>29</v>
      </c>
      <c r="I72" s="3"/>
      <c r="J72" s="29">
        <v>30</v>
      </c>
      <c r="K72" s="3"/>
      <c r="L72" s="29">
        <v>31</v>
      </c>
      <c r="M72" s="3"/>
      <c r="N72" s="64">
        <v>83</v>
      </c>
      <c r="O72" s="64">
        <v>85</v>
      </c>
      <c r="P72" s="145">
        <f>MEDIAN(N72,O72)</f>
        <v>84</v>
      </c>
      <c r="Q72" s="3"/>
      <c r="R72" s="65">
        <v>0</v>
      </c>
      <c r="S72" s="152">
        <f>(((R72)*(1+0.066)+(((L72)-(R72))/4))*1.5*5*1*1)</f>
        <v>58.125</v>
      </c>
      <c r="T72" s="487">
        <f>(S72/S75)</f>
        <v>3.4664758241266719E-2</v>
      </c>
      <c r="U72" s="487"/>
      <c r="V72" s="487"/>
      <c r="W72" s="487"/>
      <c r="X72" s="423">
        <f>'PART-OCC-UNIR'!X190</f>
        <v>4</v>
      </c>
      <c r="Y72" s="36"/>
      <c r="Z72" s="37">
        <f>X72/S112</f>
        <v>1.2873563218390804</v>
      </c>
    </row>
    <row r="73" spans="1:26" ht="12" customHeight="1" x14ac:dyDescent="0.2">
      <c r="A73" s="3"/>
      <c r="B73" s="3"/>
      <c r="C73" s="3"/>
      <c r="D73" s="200" t="str">
        <f>'PART-OCC-UNIR'!D191</f>
        <v>51699</v>
      </c>
      <c r="E73" s="3"/>
      <c r="F73" s="28" t="s">
        <v>221</v>
      </c>
      <c r="G73" s="3"/>
      <c r="H73" s="29" t="s">
        <v>29</v>
      </c>
      <c r="I73" s="3"/>
      <c r="J73" s="29">
        <v>40</v>
      </c>
      <c r="K73" s="3"/>
      <c r="L73" s="29">
        <v>36</v>
      </c>
      <c r="M73" s="3"/>
      <c r="N73" s="64">
        <v>229</v>
      </c>
      <c r="O73" s="64">
        <v>207</v>
      </c>
      <c r="P73" s="145">
        <f>MEDIAN(N73,O73)</f>
        <v>218</v>
      </c>
      <c r="Q73" s="3"/>
      <c r="R73" s="65">
        <v>49</v>
      </c>
      <c r="S73" s="152">
        <f>(((R73)*(1+0.065)+(((L73)-(R73))/4))*4.5*6*1*1)</f>
        <v>1321.2449999999999</v>
      </c>
      <c r="T73" s="487">
        <f>(S73/S75)</f>
        <v>0.78796797423625708</v>
      </c>
      <c r="U73" s="487"/>
      <c r="V73" s="487"/>
      <c r="W73" s="487"/>
      <c r="X73" s="423">
        <f>'PART-OCC-UNIR'!X191</f>
        <v>3</v>
      </c>
      <c r="Y73" s="36"/>
      <c r="Z73" s="37">
        <f>X73/S112</f>
        <v>0.96551724137931028</v>
      </c>
    </row>
    <row r="74" spans="1:26" ht="12.75" customHeight="1" x14ac:dyDescent="0.2">
      <c r="A74" s="3"/>
      <c r="B74" s="3"/>
      <c r="C74" s="3"/>
      <c r="D74" s="200">
        <f>'PART-OCC-UNIR'!D192</f>
        <v>24087</v>
      </c>
      <c r="E74" s="3"/>
      <c r="F74" s="28" t="s">
        <v>222</v>
      </c>
      <c r="G74" s="3"/>
      <c r="H74" s="29" t="s">
        <v>29</v>
      </c>
      <c r="I74" s="3"/>
      <c r="J74" s="44">
        <v>30</v>
      </c>
      <c r="K74" s="3"/>
      <c r="L74" s="44">
        <v>26</v>
      </c>
      <c r="M74" s="3"/>
      <c r="N74" s="154">
        <v>141</v>
      </c>
      <c r="O74" s="154">
        <v>140</v>
      </c>
      <c r="P74" s="145">
        <f>MEDIAN(N74,O74)</f>
        <v>140.5</v>
      </c>
      <c r="Q74" s="3"/>
      <c r="R74" s="93">
        <v>16</v>
      </c>
      <c r="S74" s="202">
        <f>(((R74)*(1+0.1)+(((L74)-(R74))/4))*1*5*1*1)</f>
        <v>100.5</v>
      </c>
      <c r="T74" s="578">
        <f>(S74/S75)</f>
        <v>5.9936485217157942E-2</v>
      </c>
      <c r="U74" s="578"/>
      <c r="V74" s="578"/>
      <c r="W74" s="578"/>
      <c r="X74" s="423">
        <f>'PART-OCC-UNIR'!X192</f>
        <v>3</v>
      </c>
      <c r="Y74" s="36"/>
      <c r="Z74" s="37">
        <f>X74/S112</f>
        <v>0.96551724137931028</v>
      </c>
    </row>
    <row r="75" spans="1:26" ht="14.1" customHeight="1" x14ac:dyDescent="0.2">
      <c r="A75" s="3"/>
      <c r="B75" s="3"/>
      <c r="C75" s="3"/>
      <c r="D75" s="466" t="s">
        <v>339</v>
      </c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90">
        <f>SUM(S71:S74)</f>
        <v>1676.7749999999999</v>
      </c>
      <c r="T75" s="494">
        <f>SUM(T71:W74)</f>
        <v>1</v>
      </c>
      <c r="U75" s="494"/>
      <c r="V75" s="494"/>
      <c r="W75" s="494"/>
      <c r="X75" s="477"/>
      <c r="Y75" s="477"/>
      <c r="Z75" s="477"/>
    </row>
    <row r="76" spans="1:26" ht="12.75" customHeight="1" x14ac:dyDescent="0.2">
      <c r="A76" s="3"/>
      <c r="B76" s="3"/>
      <c r="C76" s="3"/>
      <c r="D76" s="478" t="s">
        <v>340</v>
      </c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90">
        <f>(S75+S100)</f>
        <v>1694.7749999999999</v>
      </c>
      <c r="T76" s="479">
        <f>S76/S111</f>
        <v>0.32089709366856983</v>
      </c>
      <c r="U76" s="479"/>
      <c r="V76" s="479"/>
      <c r="W76" s="479"/>
      <c r="X76" s="477"/>
      <c r="Y76" s="477"/>
      <c r="Z76" s="477"/>
    </row>
    <row r="77" spans="1:26" ht="13.5" customHeight="1" x14ac:dyDescent="0.2">
      <c r="A77" s="3"/>
      <c r="B77" s="3"/>
      <c r="C77" s="3"/>
      <c r="D77" s="480" t="s">
        <v>341</v>
      </c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50">
        <f>SUM(Z71:Z74)/4</f>
        <v>1.0459770114942528</v>
      </c>
      <c r="T77" s="481" t="s">
        <v>33</v>
      </c>
      <c r="U77" s="481"/>
      <c r="V77" s="481"/>
      <c r="W77" s="481"/>
      <c r="X77" s="52" t="s">
        <v>34</v>
      </c>
      <c r="Y77" s="52" t="s">
        <v>35</v>
      </c>
      <c r="Z77" s="53" t="s">
        <v>36</v>
      </c>
    </row>
    <row r="78" spans="1:26" ht="13.5" customHeight="1" x14ac:dyDescent="0.2">
      <c r="A78" s="3"/>
      <c r="B78" s="3"/>
      <c r="C78" s="3"/>
      <c r="D78" s="482" t="s">
        <v>342</v>
      </c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56">
        <f>S76/SUM(T78:Z78)</f>
        <v>14.562424815260353</v>
      </c>
      <c r="T78" s="508">
        <f>(52)*1.7</f>
        <v>88.399999999999991</v>
      </c>
      <c r="U78" s="508"/>
      <c r="V78" s="508"/>
      <c r="W78" s="508"/>
      <c r="X78" s="54">
        <f>10*1</f>
        <v>10</v>
      </c>
      <c r="Y78" s="54">
        <f>31*0.58</f>
        <v>17.98</v>
      </c>
      <c r="Z78" s="55">
        <f>0*1</f>
        <v>0</v>
      </c>
    </row>
    <row r="79" spans="1:26" ht="13.5" customHeight="1" x14ac:dyDescent="0.2">
      <c r="A79" s="3"/>
      <c r="B79" s="3"/>
      <c r="C79" s="3"/>
      <c r="D79" s="484" t="s">
        <v>343</v>
      </c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56">
        <f>S78/S114</f>
        <v>1.3969666591461332</v>
      </c>
      <c r="T79" s="539"/>
      <c r="U79" s="539"/>
      <c r="V79" s="539"/>
      <c r="W79" s="539"/>
      <c r="X79" s="539"/>
      <c r="Y79" s="539"/>
      <c r="Z79" s="539"/>
    </row>
    <row r="80" spans="1:26" ht="13.5" customHeight="1" x14ac:dyDescent="0.2">
      <c r="A80" s="3"/>
      <c r="B80" s="3"/>
      <c r="C80" s="3"/>
      <c r="D80" s="486" t="s">
        <v>344</v>
      </c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57">
        <f>S77+S79+S102</f>
        <v>3.4669676946644099</v>
      </c>
      <c r="T80" s="539"/>
      <c r="U80" s="539"/>
      <c r="V80" s="539"/>
      <c r="W80" s="539"/>
      <c r="X80" s="539"/>
      <c r="Y80" s="539"/>
      <c r="Z80" s="539"/>
    </row>
    <row r="81" spans="1:26" ht="12.75" customHeight="1" x14ac:dyDescent="0.2">
      <c r="A81" s="3"/>
      <c r="B81" s="3"/>
      <c r="C81" s="3"/>
      <c r="D81" s="471" t="s">
        <v>345</v>
      </c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58">
        <f>S76/S111</f>
        <v>0.32089709366856983</v>
      </c>
      <c r="T81" s="72"/>
      <c r="U81" s="72"/>
      <c r="V81" s="72"/>
      <c r="W81" s="72"/>
      <c r="X81" s="72"/>
      <c r="Y81" s="72"/>
      <c r="Z81" s="72"/>
    </row>
    <row r="82" spans="1:26" ht="14.25" customHeight="1" x14ac:dyDescent="0.2">
      <c r="A82" s="3"/>
      <c r="B82" s="3"/>
      <c r="C82" s="3"/>
      <c r="D82" s="472" t="s">
        <v>346</v>
      </c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58">
        <f>S80/S115</f>
        <v>0.23592617835174753</v>
      </c>
      <c r="T82" s="72"/>
      <c r="U82" s="72"/>
      <c r="V82" s="72"/>
      <c r="W82" s="72"/>
      <c r="X82" s="72"/>
      <c r="Y82" s="72"/>
      <c r="Z82" s="72"/>
    </row>
    <row r="83" spans="1:26" ht="14.25" customHeight="1" x14ac:dyDescent="0.2">
      <c r="A83" s="3"/>
      <c r="B83" s="3"/>
      <c r="C83" s="3"/>
      <c r="D83" s="460" t="s">
        <v>347</v>
      </c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62">
        <f>((S81*0.9)+(S82*0.1))</f>
        <v>0.31240000213688762</v>
      </c>
      <c r="T83" s="72"/>
      <c r="U83" s="72"/>
      <c r="V83" s="72"/>
      <c r="W83" s="72"/>
      <c r="X83" s="72"/>
      <c r="Y83" s="72"/>
      <c r="Z83" s="72"/>
    </row>
    <row r="84" spans="1:26" ht="13.5" customHeight="1" x14ac:dyDescent="0.2">
      <c r="A84" s="3"/>
      <c r="B84" s="3"/>
      <c r="C84" s="3"/>
      <c r="D84" s="134"/>
      <c r="E84" s="3"/>
      <c r="F84" s="134"/>
      <c r="G84" s="3"/>
      <c r="H84" s="100"/>
      <c r="I84" s="3"/>
      <c r="J84" s="100"/>
      <c r="K84" s="3"/>
      <c r="L84" s="100"/>
      <c r="M84" s="3"/>
      <c r="N84" s="3"/>
      <c r="O84" s="3"/>
      <c r="P84" s="100"/>
      <c r="Q84" s="3"/>
      <c r="R84" s="100"/>
      <c r="S84" s="204"/>
      <c r="T84" s="568"/>
      <c r="U84" s="568"/>
      <c r="V84" s="568"/>
      <c r="W84" s="568"/>
      <c r="X84" s="13"/>
      <c r="Y84" s="13"/>
      <c r="Z84" s="4"/>
    </row>
    <row r="85" spans="1:26" ht="11.25" customHeight="1" x14ac:dyDescent="0.2">
      <c r="A85" s="3"/>
      <c r="B85" s="3"/>
      <c r="C85" s="3"/>
      <c r="D85" s="134"/>
      <c r="E85" s="3"/>
      <c r="F85" s="134"/>
      <c r="G85" s="3"/>
      <c r="H85" s="100"/>
      <c r="I85" s="3"/>
      <c r="J85" s="100"/>
      <c r="K85" s="3"/>
      <c r="L85" s="100"/>
      <c r="M85" s="3"/>
      <c r="N85" s="3"/>
      <c r="O85" s="3"/>
      <c r="P85" s="100"/>
      <c r="Q85" s="3"/>
      <c r="R85" s="100"/>
      <c r="S85" s="204"/>
      <c r="T85" s="568"/>
      <c r="U85" s="568"/>
      <c r="V85" s="568"/>
      <c r="W85" s="568"/>
      <c r="X85" s="13"/>
      <c r="Y85" s="13"/>
      <c r="Z85" s="4"/>
    </row>
    <row r="86" spans="1:26" ht="13.5" customHeight="1" x14ac:dyDescent="0.2">
      <c r="A86" s="3"/>
      <c r="B86" s="3"/>
      <c r="C86" s="3"/>
      <c r="D86" s="134"/>
      <c r="E86" s="3"/>
      <c r="F86" s="134"/>
      <c r="G86" s="3"/>
      <c r="H86" s="100"/>
      <c r="I86" s="3"/>
      <c r="J86" s="100"/>
      <c r="K86" s="3"/>
      <c r="L86" s="100"/>
      <c r="M86" s="3"/>
      <c r="N86" s="3"/>
      <c r="O86" s="3"/>
      <c r="P86" s="100"/>
      <c r="Q86" s="3"/>
      <c r="R86" s="100"/>
      <c r="S86" s="204"/>
      <c r="T86" s="568"/>
      <c r="U86" s="568"/>
      <c r="V86" s="568"/>
      <c r="W86" s="568"/>
      <c r="X86" s="13"/>
      <c r="Y86" s="13"/>
      <c r="Z86" s="4"/>
    </row>
    <row r="87" spans="1:26" ht="13.5" customHeight="1" x14ac:dyDescent="0.2">
      <c r="A87" s="3"/>
      <c r="B87" s="3"/>
      <c r="C87" s="3"/>
      <c r="D87" s="473" t="s">
        <v>232</v>
      </c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3"/>
      <c r="X87" s="474"/>
      <c r="Y87" s="474"/>
      <c r="Z87" s="474"/>
    </row>
    <row r="88" spans="1:26" ht="13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74"/>
      <c r="Y88" s="474"/>
      <c r="Z88" s="474"/>
    </row>
    <row r="89" spans="1:26" ht="23.25" thickBot="1" x14ac:dyDescent="0.25">
      <c r="A89" s="3"/>
      <c r="B89" s="3"/>
      <c r="C89" s="3"/>
      <c r="D89" s="18" t="s">
        <v>4</v>
      </c>
      <c r="E89" s="19"/>
      <c r="F89" s="20" t="s">
        <v>5</v>
      </c>
      <c r="G89" s="19"/>
      <c r="H89" s="21" t="s">
        <v>6</v>
      </c>
      <c r="I89" s="19"/>
      <c r="J89" s="21" t="s">
        <v>7</v>
      </c>
      <c r="K89" s="19"/>
      <c r="L89" s="21" t="s">
        <v>8</v>
      </c>
      <c r="M89" s="19"/>
      <c r="N89" s="21" t="s">
        <v>9</v>
      </c>
      <c r="O89" s="21" t="s">
        <v>10</v>
      </c>
      <c r="P89" s="21" t="s">
        <v>11</v>
      </c>
      <c r="Q89" s="19"/>
      <c r="R89" s="63" t="s">
        <v>12</v>
      </c>
      <c r="S89" s="85" t="s">
        <v>63</v>
      </c>
      <c r="T89" s="475" t="s">
        <v>14</v>
      </c>
      <c r="U89" s="475"/>
      <c r="V89" s="475"/>
      <c r="W89" s="475"/>
      <c r="X89" s="73" t="s">
        <v>233</v>
      </c>
      <c r="Y89" s="75" t="s">
        <v>65</v>
      </c>
      <c r="Z89" s="205"/>
    </row>
    <row r="90" spans="1:26" ht="13.5" thickBot="1" x14ac:dyDescent="0.25">
      <c r="A90" s="3"/>
      <c r="B90" s="3"/>
      <c r="C90" s="3"/>
      <c r="D90" s="27" t="s">
        <v>234</v>
      </c>
      <c r="E90" s="422"/>
      <c r="F90" s="28" t="s">
        <v>119</v>
      </c>
      <c r="G90" s="422"/>
      <c r="H90" s="29" t="s">
        <v>29</v>
      </c>
      <c r="I90" s="422"/>
      <c r="J90" s="29" t="s">
        <v>66</v>
      </c>
      <c r="K90" s="422"/>
      <c r="L90" s="29">
        <v>20</v>
      </c>
      <c r="M90" s="422"/>
      <c r="N90" s="380" t="s">
        <v>397</v>
      </c>
      <c r="O90" s="380">
        <v>36</v>
      </c>
      <c r="P90" s="29">
        <f t="shared" ref="P90:P100" si="1">MEDIAN(N90:O90)</f>
        <v>36</v>
      </c>
      <c r="Q90" s="422"/>
      <c r="R90" s="65">
        <v>3</v>
      </c>
      <c r="S90" s="102">
        <f>(((R90)*2*1))</f>
        <v>6</v>
      </c>
      <c r="T90" s="506">
        <f>(S90/S101)</f>
        <v>1.5189873417721518E-2</v>
      </c>
      <c r="U90" s="575"/>
      <c r="V90" s="575"/>
      <c r="W90" s="576"/>
      <c r="X90" s="423">
        <v>3</v>
      </c>
      <c r="Y90" s="383">
        <f>X90/S113</f>
        <v>0.89189189189189189</v>
      </c>
      <c r="Z90" s="6"/>
    </row>
    <row r="91" spans="1:26" ht="13.5" thickBot="1" x14ac:dyDescent="0.25">
      <c r="A91" s="3"/>
      <c r="B91" s="3"/>
      <c r="C91" s="3"/>
      <c r="D91" s="27"/>
      <c r="E91" s="422"/>
      <c r="F91" s="28" t="s">
        <v>398</v>
      </c>
      <c r="G91" s="422"/>
      <c r="H91" s="29" t="s">
        <v>29</v>
      </c>
      <c r="I91" s="422"/>
      <c r="J91" s="29" t="s">
        <v>66</v>
      </c>
      <c r="K91" s="422"/>
      <c r="L91" s="29">
        <v>16</v>
      </c>
      <c r="M91" s="422"/>
      <c r="N91" s="380" t="s">
        <v>397</v>
      </c>
      <c r="O91" s="380">
        <v>32</v>
      </c>
      <c r="P91" s="29">
        <f t="shared" si="1"/>
        <v>32</v>
      </c>
      <c r="Q91" s="422"/>
      <c r="R91" s="65">
        <v>8</v>
      </c>
      <c r="S91" s="394">
        <f>(((R91)*2*2))</f>
        <v>32</v>
      </c>
      <c r="T91" s="506">
        <f>(S91/S101)</f>
        <v>8.1012658227848103E-2</v>
      </c>
      <c r="U91" s="575"/>
      <c r="V91" s="575"/>
      <c r="W91" s="576"/>
      <c r="X91" s="423">
        <v>4</v>
      </c>
      <c r="Y91" s="383">
        <f>X91/S113</f>
        <v>1.1891891891891893</v>
      </c>
      <c r="Z91" s="6"/>
    </row>
    <row r="92" spans="1:26" ht="28.5" customHeight="1" thickBot="1" x14ac:dyDescent="0.25">
      <c r="A92" s="3"/>
      <c r="B92" s="3"/>
      <c r="C92" s="3"/>
      <c r="D92" s="27" t="s">
        <v>235</v>
      </c>
      <c r="E92" s="422"/>
      <c r="F92" s="28" t="s">
        <v>399</v>
      </c>
      <c r="G92" s="422"/>
      <c r="H92" s="29" t="s">
        <v>29</v>
      </c>
      <c r="I92" s="422"/>
      <c r="J92" s="29" t="s">
        <v>66</v>
      </c>
      <c r="K92" s="422"/>
      <c r="L92" s="29">
        <v>6</v>
      </c>
      <c r="M92" s="422"/>
      <c r="N92" s="380" t="s">
        <v>397</v>
      </c>
      <c r="O92" s="380">
        <v>18</v>
      </c>
      <c r="P92" s="29">
        <f t="shared" si="1"/>
        <v>18</v>
      </c>
      <c r="Q92" s="422"/>
      <c r="R92" s="65">
        <v>11</v>
      </c>
      <c r="S92" s="394">
        <f>(((R92)*4*2))</f>
        <v>88</v>
      </c>
      <c r="T92" s="506">
        <f>(S92/S101)</f>
        <v>0.22278481012658227</v>
      </c>
      <c r="U92" s="575"/>
      <c r="V92" s="575"/>
      <c r="W92" s="576"/>
      <c r="X92" s="423">
        <v>4</v>
      </c>
      <c r="Y92" s="383">
        <f>X92/S113</f>
        <v>1.1891891891891893</v>
      </c>
      <c r="Z92" s="6"/>
    </row>
    <row r="93" spans="1:26" ht="23.25" thickBot="1" x14ac:dyDescent="0.25">
      <c r="A93" s="3"/>
      <c r="B93" s="3"/>
      <c r="C93" s="3"/>
      <c r="D93" s="27"/>
      <c r="E93" s="422"/>
      <c r="F93" s="43" t="s">
        <v>400</v>
      </c>
      <c r="G93" s="422"/>
      <c r="H93" s="29" t="s">
        <v>29</v>
      </c>
      <c r="I93" s="422"/>
      <c r="J93" s="29" t="s">
        <v>66</v>
      </c>
      <c r="K93" s="422"/>
      <c r="L93" s="29">
        <v>9</v>
      </c>
      <c r="M93" s="422"/>
      <c r="N93" s="380" t="s">
        <v>397</v>
      </c>
      <c r="O93" s="380">
        <v>44</v>
      </c>
      <c r="P93" s="29">
        <f t="shared" si="1"/>
        <v>44</v>
      </c>
      <c r="Q93" s="422"/>
      <c r="R93" s="65">
        <v>8</v>
      </c>
      <c r="S93" s="394">
        <f>(((R93)*2*2))</f>
        <v>32</v>
      </c>
      <c r="T93" s="506">
        <f>(S93/S101)</f>
        <v>8.1012658227848103E-2</v>
      </c>
      <c r="U93" s="575"/>
      <c r="V93" s="575"/>
      <c r="W93" s="576"/>
      <c r="X93" s="423">
        <v>4</v>
      </c>
      <c r="Y93" s="383">
        <f>X93/S113</f>
        <v>1.1891891891891893</v>
      </c>
      <c r="Z93" s="6"/>
    </row>
    <row r="94" spans="1:26" ht="23.25" thickBot="1" x14ac:dyDescent="0.25">
      <c r="A94" s="3"/>
      <c r="B94" s="3"/>
      <c r="C94" s="3"/>
      <c r="D94" s="27" t="s">
        <v>236</v>
      </c>
      <c r="E94" s="422"/>
      <c r="F94" s="208" t="s">
        <v>401</v>
      </c>
      <c r="G94" s="422"/>
      <c r="H94" s="29" t="s">
        <v>29</v>
      </c>
      <c r="I94" s="422"/>
      <c r="J94" s="29" t="s">
        <v>66</v>
      </c>
      <c r="K94" s="422"/>
      <c r="L94" s="29">
        <v>0</v>
      </c>
      <c r="M94" s="422"/>
      <c r="N94" s="380" t="s">
        <v>397</v>
      </c>
      <c r="O94" s="380">
        <v>12</v>
      </c>
      <c r="P94" s="29">
        <f t="shared" si="1"/>
        <v>12</v>
      </c>
      <c r="Q94" s="422"/>
      <c r="R94" s="65">
        <v>0</v>
      </c>
      <c r="S94" s="394">
        <f>(((P94)*2))</f>
        <v>24</v>
      </c>
      <c r="T94" s="506">
        <f>(S94/S101)</f>
        <v>6.0759493670886074E-2</v>
      </c>
      <c r="U94" s="575"/>
      <c r="V94" s="575"/>
      <c r="W94" s="576"/>
      <c r="X94" s="423">
        <v>4</v>
      </c>
      <c r="Y94" s="383">
        <f>X94/S113</f>
        <v>1.1891891891891893</v>
      </c>
      <c r="Z94" s="6"/>
    </row>
    <row r="95" spans="1:26" ht="13.5" thickBot="1" x14ac:dyDescent="0.25">
      <c r="A95" s="3"/>
      <c r="B95" s="3"/>
      <c r="C95" s="3"/>
      <c r="D95" s="27" t="s">
        <v>237</v>
      </c>
      <c r="E95" s="422"/>
      <c r="F95" s="206" t="s">
        <v>402</v>
      </c>
      <c r="G95" s="422"/>
      <c r="H95" s="29" t="s">
        <v>29</v>
      </c>
      <c r="I95" s="422"/>
      <c r="J95" s="29" t="s">
        <v>66</v>
      </c>
      <c r="K95" s="422"/>
      <c r="L95" s="207">
        <v>18</v>
      </c>
      <c r="M95" s="422"/>
      <c r="N95" s="380" t="s">
        <v>397</v>
      </c>
      <c r="O95" s="380">
        <v>58</v>
      </c>
      <c r="P95" s="29">
        <f t="shared" si="1"/>
        <v>58</v>
      </c>
      <c r="Q95" s="422"/>
      <c r="R95" s="65">
        <v>1</v>
      </c>
      <c r="S95" s="394">
        <f>(((R95)*2*1))</f>
        <v>2</v>
      </c>
      <c r="T95" s="506">
        <f>(S95/S101)</f>
        <v>5.0632911392405064E-3</v>
      </c>
      <c r="U95" s="575"/>
      <c r="V95" s="575"/>
      <c r="W95" s="576"/>
      <c r="X95" s="423">
        <v>3</v>
      </c>
      <c r="Y95" s="383">
        <f>X95/S113</f>
        <v>0.89189189189189189</v>
      </c>
      <c r="Z95" s="6"/>
    </row>
    <row r="96" spans="1:26" ht="13.5" thickBot="1" x14ac:dyDescent="0.25">
      <c r="A96" s="3"/>
      <c r="B96" s="3"/>
      <c r="C96" s="3"/>
      <c r="D96" s="27" t="s">
        <v>238</v>
      </c>
      <c r="E96" s="422"/>
      <c r="F96" s="28" t="s">
        <v>239</v>
      </c>
      <c r="G96" s="422"/>
      <c r="H96" s="29" t="s">
        <v>29</v>
      </c>
      <c r="I96" s="422"/>
      <c r="J96" s="29" t="s">
        <v>66</v>
      </c>
      <c r="K96" s="422"/>
      <c r="L96" s="29">
        <v>20</v>
      </c>
      <c r="M96" s="422"/>
      <c r="N96" s="380" t="s">
        <v>397</v>
      </c>
      <c r="O96" s="380">
        <v>50</v>
      </c>
      <c r="P96" s="29">
        <f t="shared" si="1"/>
        <v>50</v>
      </c>
      <c r="Q96" s="422"/>
      <c r="R96" s="65">
        <v>9</v>
      </c>
      <c r="S96" s="394">
        <f>((P96)*1)</f>
        <v>50</v>
      </c>
      <c r="T96" s="506">
        <f>(S96/S101)</f>
        <v>0.12658227848101267</v>
      </c>
      <c r="U96" s="575"/>
      <c r="V96" s="575"/>
      <c r="W96" s="576"/>
      <c r="X96" s="423">
        <v>3</v>
      </c>
      <c r="Y96" s="383">
        <f>X96/S113</f>
        <v>0.89189189189189189</v>
      </c>
      <c r="Z96" s="6"/>
    </row>
    <row r="97" spans="1:26" s="41" customFormat="1" ht="23.25" thickBot="1" x14ac:dyDescent="0.25">
      <c r="A97" s="422"/>
      <c r="B97" s="422"/>
      <c r="C97" s="422"/>
      <c r="D97" s="27" t="s">
        <v>240</v>
      </c>
      <c r="E97" s="422"/>
      <c r="F97" s="208" t="s">
        <v>241</v>
      </c>
      <c r="G97" s="422"/>
      <c r="H97" s="29" t="s">
        <v>29</v>
      </c>
      <c r="I97" s="422"/>
      <c r="J97" s="29" t="s">
        <v>66</v>
      </c>
      <c r="K97" s="422"/>
      <c r="L97" s="29">
        <v>20</v>
      </c>
      <c r="M97" s="422"/>
      <c r="N97" s="380" t="s">
        <v>397</v>
      </c>
      <c r="O97" s="380">
        <v>38</v>
      </c>
      <c r="P97" s="29">
        <f t="shared" si="1"/>
        <v>38</v>
      </c>
      <c r="Q97" s="422"/>
      <c r="R97" s="65">
        <v>3</v>
      </c>
      <c r="S97" s="394">
        <f>((P97)*1)</f>
        <v>38</v>
      </c>
      <c r="T97" s="506"/>
      <c r="U97" s="575"/>
      <c r="V97" s="575"/>
      <c r="W97" s="576"/>
      <c r="X97" s="423">
        <v>3</v>
      </c>
      <c r="Y97" s="383"/>
      <c r="Z97" s="6"/>
    </row>
    <row r="98" spans="1:26" s="41" customFormat="1" ht="23.25" thickBot="1" x14ac:dyDescent="0.25">
      <c r="A98" s="422"/>
      <c r="B98" s="422"/>
      <c r="C98" s="422"/>
      <c r="D98" s="27" t="s">
        <v>242</v>
      </c>
      <c r="E98" s="422"/>
      <c r="F98" s="208" t="s">
        <v>243</v>
      </c>
      <c r="G98" s="422"/>
      <c r="H98" s="29" t="s">
        <v>29</v>
      </c>
      <c r="I98" s="422"/>
      <c r="J98" s="29" t="s">
        <v>66</v>
      </c>
      <c r="K98" s="422"/>
      <c r="L98" s="29">
        <v>17</v>
      </c>
      <c r="M98" s="422"/>
      <c r="N98" s="380" t="s">
        <v>397</v>
      </c>
      <c r="O98" s="380">
        <v>42</v>
      </c>
      <c r="P98" s="29">
        <f t="shared" si="1"/>
        <v>42</v>
      </c>
      <c r="Q98" s="422"/>
      <c r="R98" s="65">
        <v>0</v>
      </c>
      <c r="S98" s="394">
        <f>((P98)*1)</f>
        <v>42</v>
      </c>
      <c r="T98" s="506"/>
      <c r="U98" s="575"/>
      <c r="V98" s="575"/>
      <c r="W98" s="576"/>
      <c r="X98" s="423">
        <v>3</v>
      </c>
      <c r="Y98" s="383"/>
      <c r="Z98" s="6"/>
    </row>
    <row r="99" spans="1:26" ht="13.5" thickBot="1" x14ac:dyDescent="0.25">
      <c r="A99" s="3"/>
      <c r="B99" s="3"/>
      <c r="C99" s="3"/>
      <c r="D99" s="27" t="s">
        <v>244</v>
      </c>
      <c r="E99" s="422"/>
      <c r="F99" s="28" t="s">
        <v>245</v>
      </c>
      <c r="G99" s="422"/>
      <c r="H99" s="29" t="s">
        <v>29</v>
      </c>
      <c r="I99" s="422"/>
      <c r="J99" s="29" t="s">
        <v>66</v>
      </c>
      <c r="K99" s="422"/>
      <c r="L99" s="29">
        <v>23</v>
      </c>
      <c r="M99" s="422"/>
      <c r="N99" s="380" t="s">
        <v>397</v>
      </c>
      <c r="O99" s="380">
        <v>63</v>
      </c>
      <c r="P99" s="29">
        <f t="shared" si="1"/>
        <v>63</v>
      </c>
      <c r="Q99" s="422"/>
      <c r="R99" s="93">
        <v>2</v>
      </c>
      <c r="S99" s="394">
        <f>((P99)*1)</f>
        <v>63</v>
      </c>
      <c r="T99" s="506">
        <f>(S99/S101)</f>
        <v>0.15949367088607594</v>
      </c>
      <c r="U99" s="575"/>
      <c r="V99" s="575"/>
      <c r="W99" s="576"/>
      <c r="X99" s="423">
        <v>3</v>
      </c>
      <c r="Y99" s="383">
        <f>X99/S113</f>
        <v>0.89189189189189189</v>
      </c>
      <c r="Z99" s="6"/>
    </row>
    <row r="100" spans="1:26" ht="13.5" thickBot="1" x14ac:dyDescent="0.25">
      <c r="A100" s="3"/>
      <c r="B100" s="3"/>
      <c r="C100" s="3"/>
      <c r="D100" s="66" t="s">
        <v>246</v>
      </c>
      <c r="E100" s="67"/>
      <c r="F100" s="68" t="s">
        <v>247</v>
      </c>
      <c r="G100" s="67"/>
      <c r="H100" s="69" t="s">
        <v>29</v>
      </c>
      <c r="I100" s="67"/>
      <c r="J100" s="29" t="s">
        <v>66</v>
      </c>
      <c r="K100" s="67"/>
      <c r="L100" s="69">
        <v>21</v>
      </c>
      <c r="M100" s="67"/>
      <c r="N100" s="380" t="s">
        <v>397</v>
      </c>
      <c r="O100" s="380">
        <v>54</v>
      </c>
      <c r="P100" s="29">
        <f t="shared" si="1"/>
        <v>54</v>
      </c>
      <c r="Q100" s="67"/>
      <c r="R100" s="209">
        <v>9</v>
      </c>
      <c r="S100" s="109">
        <f>(((R100)*2*1))</f>
        <v>18</v>
      </c>
      <c r="T100" s="506">
        <f>(S100/S101)</f>
        <v>4.5569620253164557E-2</v>
      </c>
      <c r="U100" s="575"/>
      <c r="V100" s="575"/>
      <c r="W100" s="576"/>
      <c r="X100" s="424">
        <v>3</v>
      </c>
      <c r="Y100" s="55">
        <f>X100/S113</f>
        <v>0.89189189189189189</v>
      </c>
      <c r="Z100" s="6"/>
    </row>
    <row r="101" spans="1:26" ht="12.75" customHeight="1" thickBot="1" x14ac:dyDescent="0.25">
      <c r="A101" s="3"/>
      <c r="B101" s="3"/>
      <c r="C101" s="3"/>
      <c r="D101" s="525" t="s">
        <v>248</v>
      </c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90">
        <f>SUM(S90:S100)</f>
        <v>395</v>
      </c>
      <c r="T101" s="512">
        <f>SUM(T89:W100)</f>
        <v>0.79746835443037978</v>
      </c>
      <c r="U101" s="512"/>
      <c r="V101" s="512"/>
      <c r="W101" s="512"/>
      <c r="X101" s="468"/>
      <c r="Y101" s="468"/>
      <c r="Z101" s="6"/>
    </row>
    <row r="102" spans="1:26" ht="12.75" customHeight="1" thickBot="1" x14ac:dyDescent="0.25">
      <c r="A102" s="3"/>
      <c r="B102" s="3"/>
      <c r="C102" s="3"/>
      <c r="D102" s="469" t="s">
        <v>249</v>
      </c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70">
        <f>SUM(Y90:Y100)/9</f>
        <v>1.0240240240240239</v>
      </c>
      <c r="T102" s="470"/>
      <c r="U102" s="470"/>
      <c r="V102" s="470"/>
      <c r="W102" s="470"/>
      <c r="X102" s="468"/>
      <c r="Y102" s="468"/>
      <c r="Z102" s="6"/>
    </row>
    <row r="103" spans="1:26" ht="15" customHeight="1" x14ac:dyDescent="0.2">
      <c r="A103" s="3"/>
      <c r="B103" s="3"/>
      <c r="C103" s="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72"/>
      <c r="T103" s="568"/>
      <c r="U103" s="568"/>
      <c r="V103" s="568"/>
      <c r="W103" s="568"/>
      <c r="X103" s="13"/>
      <c r="Y103" s="13"/>
      <c r="Z103" s="4"/>
    </row>
    <row r="104" spans="1:26" ht="11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3"/>
      <c r="Y104" s="13"/>
      <c r="Z104" s="4"/>
    </row>
    <row r="105" spans="1:26" ht="14.1" customHeight="1" x14ac:dyDescent="0.2">
      <c r="A105" s="3"/>
      <c r="B105" s="3"/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3"/>
      <c r="V105" s="3"/>
      <c r="W105" s="3"/>
      <c r="X105" s="13"/>
      <c r="Y105" s="13"/>
      <c r="Z105" s="4"/>
    </row>
    <row r="106" spans="1:26" ht="0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3"/>
      <c r="Y106" s="13"/>
      <c r="Z106" s="4"/>
    </row>
    <row r="107" spans="1:26" ht="12" customHeight="1" x14ac:dyDescent="0.2">
      <c r="A107" s="3"/>
      <c r="B107" s="3"/>
      <c r="C107" s="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3"/>
      <c r="X107" s="13"/>
      <c r="Y107" s="13"/>
      <c r="Z107" s="4"/>
    </row>
    <row r="108" spans="1:26" ht="3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3"/>
      <c r="Y108" s="13"/>
      <c r="Z108" s="4"/>
    </row>
    <row r="109" spans="1:26" ht="17.25" customHeight="1" x14ac:dyDescent="0.2">
      <c r="A109" s="3"/>
      <c r="B109" s="3"/>
      <c r="C109" s="3"/>
      <c r="D109" s="458" t="s">
        <v>250</v>
      </c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56">
        <f>SUM(S12,S25,S40,S61,S75)</f>
        <v>4886.366</v>
      </c>
      <c r="T109" s="571"/>
      <c r="U109" s="571"/>
      <c r="V109" s="571"/>
      <c r="W109" s="571"/>
      <c r="X109" s="13"/>
      <c r="Y109" s="13"/>
      <c r="Z109" s="4"/>
    </row>
    <row r="110" spans="1:26" ht="15" customHeight="1" x14ac:dyDescent="0.2">
      <c r="A110" s="3"/>
      <c r="B110" s="3"/>
      <c r="C110" s="3"/>
      <c r="D110" s="459" t="s">
        <v>251</v>
      </c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57">
        <f>S101</f>
        <v>395</v>
      </c>
      <c r="T110" s="574"/>
      <c r="U110" s="574"/>
      <c r="V110" s="574"/>
      <c r="W110" s="574"/>
      <c r="X110" s="110"/>
      <c r="Y110" s="13"/>
      <c r="Z110" s="4"/>
    </row>
    <row r="111" spans="1:26" ht="13.5" customHeight="1" x14ac:dyDescent="0.2">
      <c r="A111" s="3"/>
      <c r="B111" s="3"/>
      <c r="C111" s="3"/>
      <c r="D111" s="460" t="s">
        <v>252</v>
      </c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210">
        <f>SUM(S109:S110)</f>
        <v>5281.366</v>
      </c>
      <c r="T111" s="568"/>
      <c r="U111" s="568"/>
      <c r="V111" s="568"/>
      <c r="W111" s="568"/>
      <c r="X111" s="110"/>
      <c r="Y111" s="13"/>
      <c r="Z111" s="4"/>
    </row>
    <row r="112" spans="1:26" ht="14.25" customHeight="1" x14ac:dyDescent="0.2">
      <c r="A112" s="3"/>
      <c r="B112" s="3"/>
      <c r="C112" s="3"/>
      <c r="D112" s="459" t="s">
        <v>253</v>
      </c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56">
        <f>(X7+X8+X9+X10+X11+X22+X23+X24+X35+X36+X37+X38+X39+X50+X51+X52+X53+X54+X55+X56+X57+X58+X59+X60+X71+X72+X73+X74)/28</f>
        <v>3.1071428571428572</v>
      </c>
      <c r="T112" s="568"/>
      <c r="U112" s="568"/>
      <c r="V112" s="568"/>
      <c r="W112" s="568"/>
      <c r="X112" s="573"/>
      <c r="Y112" s="13"/>
      <c r="Z112" s="4"/>
    </row>
    <row r="113" spans="1:26" ht="15" customHeight="1" x14ac:dyDescent="0.2">
      <c r="A113" s="3"/>
      <c r="B113" s="3"/>
      <c r="C113" s="3"/>
      <c r="D113" s="460" t="s">
        <v>254</v>
      </c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211">
        <f>SUM(X90:X100)/11</f>
        <v>3.3636363636363638</v>
      </c>
      <c r="T113" s="568"/>
      <c r="U113" s="568"/>
      <c r="V113" s="568"/>
      <c r="W113" s="568"/>
      <c r="X113" s="573"/>
      <c r="Y113" s="13"/>
      <c r="Z113" s="4"/>
    </row>
    <row r="114" spans="1:26" ht="15" customHeight="1" x14ac:dyDescent="0.2">
      <c r="A114" s="3"/>
      <c r="B114" s="3"/>
      <c r="C114" s="3"/>
      <c r="D114" s="462" t="s">
        <v>255</v>
      </c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213">
        <f>(S15+S28+S43+S64+S78)/5</f>
        <v>10.424318089424792</v>
      </c>
      <c r="T114" s="568"/>
      <c r="U114" s="568"/>
      <c r="V114" s="568"/>
      <c r="W114" s="568"/>
      <c r="X114" s="573"/>
      <c r="Y114" s="13"/>
      <c r="Z114" s="4"/>
    </row>
    <row r="115" spans="1:26" ht="16.5" customHeight="1" x14ac:dyDescent="0.2">
      <c r="A115" s="3"/>
      <c r="B115" s="3"/>
      <c r="C115" s="3"/>
      <c r="D115" s="463" t="s">
        <v>256</v>
      </c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213">
        <f>(S17+S30+S45+S66+S80)</f>
        <v>14.695137770999839</v>
      </c>
      <c r="T115" s="568"/>
      <c r="U115" s="568"/>
      <c r="V115" s="568"/>
      <c r="W115" s="568"/>
      <c r="X115" s="573"/>
      <c r="Y115" s="13"/>
      <c r="Z115" s="4"/>
    </row>
    <row r="116" spans="1:26" ht="9.9499999999999993" customHeight="1" x14ac:dyDescent="0.2">
      <c r="A116" s="3"/>
      <c r="B116" s="3"/>
      <c r="C116" s="3"/>
      <c r="D116" s="134"/>
      <c r="E116" s="3"/>
      <c r="F116" s="134"/>
      <c r="G116" s="3"/>
      <c r="H116" s="100"/>
      <c r="I116" s="3"/>
      <c r="J116" s="100"/>
      <c r="K116" s="3"/>
      <c r="L116" s="100"/>
      <c r="M116" s="3"/>
      <c r="N116" s="3"/>
      <c r="O116" s="3"/>
      <c r="P116" s="100"/>
      <c r="Q116" s="3"/>
      <c r="R116" s="100"/>
      <c r="S116" s="572"/>
      <c r="T116" s="568"/>
      <c r="U116" s="568"/>
      <c r="V116" s="568"/>
      <c r="W116" s="568"/>
      <c r="X116" s="573"/>
      <c r="Y116" s="13"/>
    </row>
    <row r="117" spans="1:26" ht="9.9499999999999993" customHeight="1" x14ac:dyDescent="0.2">
      <c r="A117" s="3"/>
      <c r="B117" s="3"/>
      <c r="C117" s="3"/>
      <c r="D117" s="134"/>
      <c r="E117" s="3"/>
      <c r="F117" s="134"/>
      <c r="G117" s="3"/>
      <c r="H117" s="100"/>
      <c r="I117" s="3"/>
      <c r="J117" s="100"/>
      <c r="K117" s="3"/>
      <c r="L117" s="100"/>
      <c r="M117" s="3"/>
      <c r="N117" s="3"/>
      <c r="O117" s="3"/>
      <c r="P117" s="100"/>
      <c r="Q117" s="3"/>
      <c r="R117" s="100"/>
      <c r="S117" s="572"/>
      <c r="T117" s="568"/>
      <c r="U117" s="568"/>
      <c r="V117" s="568"/>
      <c r="W117" s="568"/>
      <c r="X117" s="573"/>
      <c r="Y117" s="13"/>
    </row>
    <row r="118" spans="1:26" ht="14.25" customHeight="1" x14ac:dyDescent="0.2">
      <c r="A118" s="3"/>
      <c r="B118" s="3"/>
      <c r="C118" s="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72"/>
      <c r="T118" s="568"/>
      <c r="U118" s="568"/>
      <c r="V118" s="568"/>
      <c r="W118" s="568"/>
      <c r="X118" s="13"/>
      <c r="Y118" s="13"/>
    </row>
    <row r="119" spans="1:26" ht="13.5" customHeight="1" x14ac:dyDescent="0.2">
      <c r="A119" s="3"/>
      <c r="B119" s="3"/>
      <c r="C119" s="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569"/>
      <c r="O119" s="569"/>
      <c r="P119" s="569"/>
      <c r="Q119" s="569"/>
      <c r="R119" s="569"/>
      <c r="S119" s="72"/>
      <c r="T119" s="568"/>
      <c r="U119" s="568"/>
      <c r="V119" s="568"/>
      <c r="W119" s="568"/>
      <c r="X119" s="13"/>
      <c r="Y119" s="13"/>
    </row>
    <row r="120" spans="1:26" ht="2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3"/>
      <c r="Y120" s="13"/>
    </row>
    <row r="121" spans="1:26" ht="0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3"/>
      <c r="Y121" s="13"/>
    </row>
    <row r="122" spans="1:26" ht="14.1" customHeight="1" x14ac:dyDescent="0.2">
      <c r="A122" s="3"/>
      <c r="B122" s="3"/>
      <c r="C122" s="504"/>
      <c r="D122" s="504"/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504"/>
      <c r="R122" s="504"/>
      <c r="S122" s="504"/>
      <c r="T122" s="504"/>
      <c r="U122" s="3"/>
      <c r="V122" s="3"/>
      <c r="W122" s="3"/>
      <c r="X122" s="13"/>
      <c r="Y122" s="13"/>
    </row>
    <row r="123" spans="1:26" ht="0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13"/>
      <c r="Y123" s="13"/>
    </row>
    <row r="124" spans="1:26" ht="12" customHeight="1" x14ac:dyDescent="0.2">
      <c r="A124" s="3"/>
      <c r="B124" s="3"/>
      <c r="C124" s="3"/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3"/>
      <c r="O124" s="473"/>
      <c r="P124" s="473"/>
      <c r="Q124" s="473"/>
      <c r="R124" s="473"/>
      <c r="S124" s="473"/>
      <c r="T124" s="473"/>
      <c r="U124" s="473"/>
      <c r="V124" s="473"/>
      <c r="W124" s="3"/>
      <c r="X124" s="13"/>
      <c r="Y124" s="13"/>
    </row>
    <row r="125" spans="1:26" ht="3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3"/>
      <c r="Y125" s="13"/>
    </row>
    <row r="126" spans="1:26" ht="27" customHeight="1" x14ac:dyDescent="0.2">
      <c r="A126" s="3"/>
      <c r="B126" s="3"/>
      <c r="C126" s="3"/>
      <c r="D126" s="100"/>
      <c r="E126" s="3"/>
      <c r="F126" s="100"/>
      <c r="G126" s="3"/>
      <c r="H126" s="100"/>
      <c r="I126" s="3"/>
      <c r="J126" s="100"/>
      <c r="K126" s="3"/>
      <c r="L126" s="100"/>
      <c r="M126" s="3"/>
      <c r="N126" s="3"/>
      <c r="O126" s="3"/>
      <c r="P126" s="100"/>
      <c r="Q126" s="3"/>
      <c r="R126" s="100"/>
      <c r="S126" s="271"/>
      <c r="T126" s="571"/>
      <c r="U126" s="571"/>
      <c r="V126" s="571"/>
      <c r="W126" s="571"/>
      <c r="X126" s="13"/>
      <c r="Y126" s="13"/>
    </row>
    <row r="127" spans="1:26" ht="13.5" customHeight="1" x14ac:dyDescent="0.2">
      <c r="A127" s="3"/>
      <c r="B127" s="3"/>
      <c r="C127" s="3"/>
      <c r="D127" s="134"/>
      <c r="E127" s="3"/>
      <c r="F127" s="134"/>
      <c r="G127" s="3"/>
      <c r="H127" s="100"/>
      <c r="I127" s="3"/>
      <c r="J127" s="100"/>
      <c r="K127" s="3"/>
      <c r="L127" s="100"/>
      <c r="M127" s="3"/>
      <c r="N127" s="3"/>
      <c r="O127" s="3"/>
      <c r="P127" s="100"/>
      <c r="Q127" s="3"/>
      <c r="R127" s="100"/>
      <c r="S127" s="204"/>
      <c r="T127" s="568"/>
      <c r="U127" s="568"/>
      <c r="V127" s="568"/>
      <c r="W127" s="568"/>
      <c r="X127" s="110"/>
      <c r="Y127" s="13"/>
    </row>
    <row r="128" spans="1:26" ht="15.75" customHeight="1" x14ac:dyDescent="0.2">
      <c r="A128" s="3"/>
      <c r="B128" s="3"/>
      <c r="C128" s="3"/>
      <c r="D128" s="134"/>
      <c r="E128" s="3"/>
      <c r="F128" s="134"/>
      <c r="G128" s="3"/>
      <c r="H128" s="100"/>
      <c r="I128" s="3"/>
      <c r="J128" s="100"/>
      <c r="K128" s="3"/>
      <c r="L128" s="100"/>
      <c r="M128" s="3"/>
      <c r="N128" s="3"/>
      <c r="O128" s="3"/>
      <c r="P128" s="100"/>
      <c r="Q128" s="3"/>
      <c r="R128" s="100"/>
      <c r="S128" s="204"/>
      <c r="T128" s="568"/>
      <c r="U128" s="568"/>
      <c r="V128" s="568"/>
      <c r="W128" s="568"/>
      <c r="X128" s="110"/>
      <c r="Y128" s="13"/>
    </row>
    <row r="129" spans="1:27" ht="15.75" customHeight="1" x14ac:dyDescent="0.2">
      <c r="A129" s="3"/>
      <c r="B129" s="3"/>
      <c r="C129" s="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204"/>
      <c r="T129" s="568"/>
      <c r="U129" s="568"/>
      <c r="V129" s="568"/>
      <c r="W129" s="568"/>
      <c r="X129" s="110"/>
      <c r="Y129" s="13"/>
    </row>
    <row r="130" spans="1:27" ht="13.5" customHeight="1" x14ac:dyDescent="0.2">
      <c r="A130" s="3"/>
      <c r="B130" s="3"/>
      <c r="C130" s="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72"/>
      <c r="T130" s="568"/>
      <c r="U130" s="568"/>
      <c r="V130" s="568"/>
      <c r="W130" s="568"/>
      <c r="X130" s="110"/>
      <c r="Y130" s="13"/>
    </row>
    <row r="131" spans="1:27" ht="18.75" customHeight="1" x14ac:dyDescent="0.2">
      <c r="A131" s="3"/>
      <c r="B131" s="3"/>
      <c r="C131" s="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3"/>
      <c r="W131" s="3"/>
      <c r="X131" s="110"/>
      <c r="Y131" s="13"/>
    </row>
    <row r="132" spans="1:27" ht="15.75" customHeight="1" x14ac:dyDescent="0.2">
      <c r="A132" s="3"/>
      <c r="B132" s="3"/>
      <c r="C132" s="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473"/>
      <c r="T132" s="473"/>
      <c r="U132" s="473"/>
      <c r="V132" s="473"/>
      <c r="W132" s="473"/>
      <c r="X132" s="110"/>
      <c r="Y132" s="13"/>
    </row>
    <row r="133" spans="1:27" ht="15.75" customHeight="1" x14ac:dyDescent="0.2">
      <c r="A133" s="3"/>
      <c r="B133" s="3"/>
      <c r="C133" s="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10"/>
      <c r="Y133" s="13"/>
    </row>
    <row r="134" spans="1:27" ht="15.75" customHeight="1" x14ac:dyDescent="0.2">
      <c r="A134" s="3"/>
      <c r="B134" s="3"/>
      <c r="C134" s="3"/>
      <c r="D134" s="100"/>
      <c r="E134" s="3"/>
      <c r="F134" s="100"/>
      <c r="G134" s="3"/>
      <c r="H134" s="100"/>
      <c r="I134" s="3"/>
      <c r="J134" s="100"/>
      <c r="K134" s="3"/>
      <c r="L134" s="100"/>
      <c r="M134" s="3"/>
      <c r="N134" s="3"/>
      <c r="O134" s="3"/>
      <c r="P134" s="100"/>
      <c r="Q134" s="3"/>
      <c r="R134" s="100"/>
      <c r="S134" s="271"/>
      <c r="T134" s="571"/>
      <c r="U134" s="571"/>
      <c r="V134" s="571"/>
      <c r="W134" s="571"/>
      <c r="X134" s="110"/>
      <c r="Y134" s="13"/>
    </row>
    <row r="135" spans="1:27" ht="24.75" customHeight="1" x14ac:dyDescent="0.2">
      <c r="A135" s="3"/>
      <c r="B135" s="3"/>
      <c r="C135" s="3"/>
      <c r="D135" s="134"/>
      <c r="E135" s="3"/>
      <c r="F135" s="134"/>
      <c r="G135" s="3"/>
      <c r="H135" s="100"/>
      <c r="I135" s="3"/>
      <c r="J135" s="100"/>
      <c r="K135" s="3"/>
      <c r="L135" s="100"/>
      <c r="M135" s="3"/>
      <c r="N135" s="3"/>
      <c r="O135" s="3"/>
      <c r="P135" s="100"/>
      <c r="Q135" s="3"/>
      <c r="R135" s="100"/>
      <c r="S135" s="204"/>
      <c r="T135" s="568"/>
      <c r="U135" s="568"/>
      <c r="V135" s="568"/>
      <c r="W135" s="568"/>
      <c r="X135" s="110"/>
      <c r="Y135" s="13"/>
      <c r="AA135" s="132"/>
    </row>
    <row r="136" spans="1:27" ht="24.75" customHeight="1" x14ac:dyDescent="0.2">
      <c r="A136" s="3"/>
      <c r="B136" s="3"/>
      <c r="C136" s="3"/>
      <c r="D136" s="134"/>
      <c r="E136" s="3"/>
      <c r="F136" s="134"/>
      <c r="G136" s="3"/>
      <c r="H136" s="100"/>
      <c r="I136" s="3"/>
      <c r="J136" s="100"/>
      <c r="K136" s="3"/>
      <c r="L136" s="100"/>
      <c r="M136" s="3"/>
      <c r="N136" s="3"/>
      <c r="O136" s="3"/>
      <c r="P136" s="100"/>
      <c r="Q136" s="3"/>
      <c r="R136" s="100"/>
      <c r="S136" s="3"/>
      <c r="T136" s="3"/>
      <c r="U136" s="3"/>
      <c r="V136" s="3"/>
      <c r="W136" s="3"/>
      <c r="X136" s="110"/>
      <c r="Y136" s="13"/>
    </row>
    <row r="137" spans="1:27" ht="14.1" customHeight="1" x14ac:dyDescent="0.2">
      <c r="A137" s="3"/>
      <c r="B137" s="3"/>
      <c r="C137" s="504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4"/>
      <c r="U137" s="3"/>
      <c r="V137" s="3"/>
      <c r="W137" s="3"/>
      <c r="X137" s="110"/>
      <c r="Y137" s="13"/>
    </row>
    <row r="138" spans="1:27" ht="0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110"/>
      <c r="Y138" s="13"/>
    </row>
    <row r="139" spans="1:27" ht="12" customHeight="1" x14ac:dyDescent="0.2">
      <c r="A139" s="3"/>
      <c r="B139" s="3"/>
      <c r="C139" s="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  <c r="Q139" s="473"/>
      <c r="R139" s="473"/>
      <c r="S139" s="473"/>
      <c r="T139" s="473"/>
      <c r="U139" s="473"/>
      <c r="V139" s="473"/>
      <c r="W139" s="3"/>
      <c r="X139" s="110"/>
      <c r="Y139" s="13"/>
    </row>
    <row r="140" spans="1:27" ht="3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110"/>
      <c r="Y140" s="13"/>
    </row>
    <row r="141" spans="1:27" ht="27" customHeight="1" x14ac:dyDescent="0.2">
      <c r="A141" s="3"/>
      <c r="B141" s="3"/>
      <c r="C141" s="3"/>
      <c r="D141" s="100"/>
      <c r="E141" s="3"/>
      <c r="F141" s="100"/>
      <c r="G141" s="3"/>
      <c r="H141" s="100"/>
      <c r="I141" s="3"/>
      <c r="J141" s="100"/>
      <c r="K141" s="3"/>
      <c r="L141" s="100"/>
      <c r="M141" s="3"/>
      <c r="N141" s="3"/>
      <c r="O141" s="3"/>
      <c r="P141" s="100"/>
      <c r="Q141" s="3"/>
      <c r="R141" s="100"/>
      <c r="S141" s="271"/>
      <c r="T141" s="571"/>
      <c r="U141" s="571"/>
      <c r="V141" s="571"/>
      <c r="W141" s="571"/>
      <c r="X141" s="110"/>
      <c r="Y141" s="13"/>
    </row>
    <row r="142" spans="1:27" ht="11.25" customHeight="1" x14ac:dyDescent="0.2">
      <c r="A142" s="3"/>
      <c r="B142" s="3"/>
      <c r="C142" s="3"/>
      <c r="D142" s="134"/>
      <c r="E142" s="3"/>
      <c r="F142" s="134"/>
      <c r="G142" s="3"/>
      <c r="H142" s="100"/>
      <c r="I142" s="3"/>
      <c r="J142" s="100"/>
      <c r="K142" s="3"/>
      <c r="L142" s="100"/>
      <c r="M142" s="3"/>
      <c r="N142" s="3"/>
      <c r="O142" s="3"/>
      <c r="P142" s="100"/>
      <c r="Q142" s="3"/>
      <c r="R142" s="100"/>
      <c r="S142" s="59"/>
      <c r="T142" s="568"/>
      <c r="U142" s="568"/>
      <c r="V142" s="568"/>
      <c r="W142" s="568"/>
      <c r="X142" s="110"/>
      <c r="Y142" s="13"/>
    </row>
    <row r="143" spans="1:27" ht="12.75" customHeight="1" x14ac:dyDescent="0.2">
      <c r="A143" s="3"/>
      <c r="B143" s="3"/>
      <c r="C143" s="3"/>
      <c r="D143" s="134"/>
      <c r="E143" s="3"/>
      <c r="F143" s="134"/>
      <c r="G143" s="3"/>
      <c r="H143" s="100"/>
      <c r="I143" s="3"/>
      <c r="J143" s="100"/>
      <c r="K143" s="3"/>
      <c r="L143" s="100"/>
      <c r="M143" s="3"/>
      <c r="N143" s="3"/>
      <c r="O143" s="3"/>
      <c r="P143" s="100"/>
      <c r="Q143" s="3"/>
      <c r="R143" s="100"/>
      <c r="S143" s="59"/>
      <c r="T143" s="568"/>
      <c r="U143" s="568"/>
      <c r="V143" s="568"/>
      <c r="W143" s="568"/>
      <c r="X143" s="110"/>
      <c r="Y143" s="13"/>
    </row>
    <row r="144" spans="1:27" ht="11.25" customHeight="1" x14ac:dyDescent="0.2">
      <c r="A144" s="3"/>
      <c r="B144" s="3"/>
      <c r="C144" s="3"/>
      <c r="D144" s="134"/>
      <c r="E144" s="3"/>
      <c r="F144" s="134"/>
      <c r="G144" s="3"/>
      <c r="H144" s="100"/>
      <c r="I144" s="3"/>
      <c r="J144" s="100"/>
      <c r="K144" s="3"/>
      <c r="L144" s="100"/>
      <c r="M144" s="3"/>
      <c r="N144" s="3"/>
      <c r="O144" s="3"/>
      <c r="P144" s="100"/>
      <c r="Q144" s="3"/>
      <c r="R144" s="100"/>
      <c r="S144" s="59"/>
      <c r="T144" s="568"/>
      <c r="U144" s="568"/>
      <c r="V144" s="568"/>
      <c r="W144" s="568"/>
      <c r="X144" s="110"/>
      <c r="Y144" s="13"/>
    </row>
    <row r="145" spans="1:25" ht="13.5" customHeight="1" x14ac:dyDescent="0.2">
      <c r="A145" s="3"/>
      <c r="B145" s="3"/>
      <c r="C145" s="3"/>
      <c r="D145" s="134"/>
      <c r="E145" s="3"/>
      <c r="F145" s="134"/>
      <c r="G145" s="3"/>
      <c r="H145" s="100"/>
      <c r="I145" s="3"/>
      <c r="J145" s="100"/>
      <c r="K145" s="3"/>
      <c r="L145" s="100"/>
      <c r="M145" s="3"/>
      <c r="N145" s="3"/>
      <c r="O145" s="3"/>
      <c r="P145" s="100"/>
      <c r="Q145" s="3"/>
      <c r="R145" s="100"/>
      <c r="S145" s="59"/>
      <c r="T145" s="568"/>
      <c r="U145" s="568"/>
      <c r="V145" s="568"/>
      <c r="W145" s="568"/>
      <c r="X145" s="110"/>
      <c r="Y145" s="13"/>
    </row>
    <row r="146" spans="1:25" ht="12" customHeight="1" x14ac:dyDescent="0.2">
      <c r="A146" s="3"/>
      <c r="B146" s="3"/>
      <c r="C146" s="3"/>
      <c r="D146" s="134"/>
      <c r="E146" s="3"/>
      <c r="F146" s="134"/>
      <c r="G146" s="3"/>
      <c r="H146" s="100"/>
      <c r="I146" s="3"/>
      <c r="J146" s="100"/>
      <c r="K146" s="3"/>
      <c r="L146" s="100"/>
      <c r="M146" s="3"/>
      <c r="N146" s="3"/>
      <c r="O146" s="3"/>
      <c r="P146" s="100"/>
      <c r="Q146" s="3"/>
      <c r="R146" s="100"/>
      <c r="S146" s="59"/>
      <c r="T146" s="568"/>
      <c r="U146" s="568"/>
      <c r="V146" s="568"/>
      <c r="W146" s="568"/>
      <c r="X146" s="110"/>
      <c r="Y146" s="13"/>
    </row>
    <row r="147" spans="1:25" ht="12.75" customHeight="1" x14ac:dyDescent="0.2">
      <c r="A147" s="3"/>
      <c r="B147" s="3"/>
      <c r="C147" s="3"/>
      <c r="D147" s="134"/>
      <c r="E147" s="3"/>
      <c r="F147" s="134"/>
      <c r="G147" s="3"/>
      <c r="H147" s="100"/>
      <c r="I147" s="3"/>
      <c r="J147" s="100"/>
      <c r="K147" s="3"/>
      <c r="L147" s="100"/>
      <c r="M147" s="3"/>
      <c r="N147" s="3"/>
      <c r="O147" s="3"/>
      <c r="P147" s="100"/>
      <c r="Q147" s="3"/>
      <c r="R147" s="100"/>
      <c r="S147" s="59"/>
      <c r="T147" s="568"/>
      <c r="U147" s="568"/>
      <c r="V147" s="568"/>
      <c r="W147" s="568"/>
      <c r="X147" s="110"/>
      <c r="Y147" s="13"/>
    </row>
    <row r="148" spans="1:25" ht="14.25" customHeight="1" x14ac:dyDescent="0.2">
      <c r="A148" s="3"/>
      <c r="B148" s="3"/>
      <c r="C148" s="3"/>
      <c r="D148" s="134"/>
      <c r="E148" s="3"/>
      <c r="F148" s="134"/>
      <c r="G148" s="3"/>
      <c r="H148" s="100"/>
      <c r="I148" s="3"/>
      <c r="J148" s="100"/>
      <c r="K148" s="3"/>
      <c r="L148" s="100"/>
      <c r="M148" s="3"/>
      <c r="N148" s="3"/>
      <c r="O148" s="3"/>
      <c r="P148" s="100"/>
      <c r="Q148" s="3"/>
      <c r="R148" s="100"/>
      <c r="S148" s="59"/>
      <c r="T148" s="568"/>
      <c r="U148" s="568"/>
      <c r="V148" s="568"/>
      <c r="W148" s="568"/>
      <c r="X148" s="110"/>
      <c r="Y148" s="13"/>
    </row>
    <row r="149" spans="1:25" ht="11.25" customHeight="1" x14ac:dyDescent="0.2">
      <c r="A149" s="3"/>
      <c r="B149" s="3"/>
      <c r="C149" s="3"/>
      <c r="D149" s="134"/>
      <c r="E149" s="3"/>
      <c r="F149" s="134"/>
      <c r="G149" s="3"/>
      <c r="H149" s="100"/>
      <c r="I149" s="3"/>
      <c r="J149" s="100"/>
      <c r="K149" s="3"/>
      <c r="L149" s="100"/>
      <c r="M149" s="3"/>
      <c r="N149" s="3"/>
      <c r="O149" s="3"/>
      <c r="P149" s="100"/>
      <c r="Q149" s="3"/>
      <c r="R149" s="100"/>
      <c r="S149" s="59"/>
      <c r="T149" s="568"/>
      <c r="U149" s="568"/>
      <c r="V149" s="568"/>
      <c r="W149" s="568"/>
      <c r="X149" s="110"/>
      <c r="Y149" s="13"/>
    </row>
    <row r="150" spans="1:25" ht="12.75" customHeight="1" x14ac:dyDescent="0.2">
      <c r="A150" s="3"/>
      <c r="B150" s="3"/>
      <c r="C150" s="3"/>
      <c r="D150" s="134"/>
      <c r="E150" s="3"/>
      <c r="F150" s="134"/>
      <c r="G150" s="3"/>
      <c r="H150" s="100"/>
      <c r="I150" s="3"/>
      <c r="J150" s="100"/>
      <c r="K150" s="3"/>
      <c r="L150" s="100"/>
      <c r="M150" s="3"/>
      <c r="N150" s="3"/>
      <c r="O150" s="3"/>
      <c r="P150" s="100"/>
      <c r="Q150" s="3"/>
      <c r="R150" s="100"/>
      <c r="S150" s="59"/>
      <c r="T150" s="568"/>
      <c r="U150" s="568"/>
      <c r="V150" s="568"/>
      <c r="W150" s="568"/>
      <c r="X150" s="110"/>
      <c r="Y150" s="13"/>
    </row>
    <row r="151" spans="1:25" ht="12.75" customHeight="1" x14ac:dyDescent="0.2">
      <c r="A151" s="3"/>
      <c r="B151" s="3"/>
      <c r="C151" s="3"/>
      <c r="D151" s="134"/>
      <c r="E151" s="3"/>
      <c r="F151" s="134"/>
      <c r="G151" s="3"/>
      <c r="H151" s="100"/>
      <c r="I151" s="3"/>
      <c r="J151" s="100"/>
      <c r="K151" s="3"/>
      <c r="L151" s="100"/>
      <c r="M151" s="3"/>
      <c r="N151" s="3"/>
      <c r="O151" s="3"/>
      <c r="P151" s="100"/>
      <c r="Q151" s="3"/>
      <c r="R151" s="100"/>
      <c r="S151" s="59"/>
      <c r="T151" s="568"/>
      <c r="U151" s="568"/>
      <c r="V151" s="568"/>
      <c r="W151" s="568"/>
      <c r="X151" s="110"/>
      <c r="Y151" s="13"/>
    </row>
    <row r="152" spans="1:25" ht="13.5" customHeight="1" x14ac:dyDescent="0.2">
      <c r="A152" s="3"/>
      <c r="B152" s="3"/>
      <c r="C152" s="3"/>
      <c r="D152" s="134"/>
      <c r="E152" s="3"/>
      <c r="F152" s="134"/>
      <c r="G152" s="3"/>
      <c r="H152" s="100"/>
      <c r="I152" s="3"/>
      <c r="J152" s="100"/>
      <c r="K152" s="3"/>
      <c r="L152" s="100"/>
      <c r="M152" s="3"/>
      <c r="N152" s="3"/>
      <c r="O152" s="3"/>
      <c r="P152" s="100"/>
      <c r="Q152" s="3"/>
      <c r="R152" s="100"/>
      <c r="S152" s="59"/>
      <c r="T152" s="568"/>
      <c r="U152" s="568"/>
      <c r="V152" s="568"/>
      <c r="W152" s="568"/>
      <c r="X152" s="110"/>
      <c r="Y152" s="13"/>
    </row>
    <row r="153" spans="1:25" ht="12.75" customHeight="1" x14ac:dyDescent="0.2">
      <c r="A153" s="3"/>
      <c r="B153" s="3"/>
      <c r="C153" s="3"/>
      <c r="D153" s="134"/>
      <c r="E153" s="3"/>
      <c r="F153" s="134"/>
      <c r="G153" s="3"/>
      <c r="H153" s="100"/>
      <c r="I153" s="3"/>
      <c r="J153" s="100"/>
      <c r="K153" s="3"/>
      <c r="L153" s="100"/>
      <c r="M153" s="3"/>
      <c r="N153" s="3"/>
      <c r="O153" s="3"/>
      <c r="P153" s="100"/>
      <c r="Q153" s="3"/>
      <c r="R153" s="100"/>
      <c r="S153" s="59"/>
      <c r="T153" s="568"/>
      <c r="U153" s="568"/>
      <c r="V153" s="568"/>
      <c r="W153" s="568"/>
      <c r="X153" s="110"/>
      <c r="Y153" s="13"/>
    </row>
    <row r="154" spans="1:25" ht="12.75" customHeight="1" x14ac:dyDescent="0.2">
      <c r="A154" s="3"/>
      <c r="B154" s="3"/>
      <c r="C154" s="3"/>
      <c r="D154" s="134"/>
      <c r="E154" s="3"/>
      <c r="F154" s="134"/>
      <c r="G154" s="3"/>
      <c r="H154" s="100"/>
      <c r="I154" s="3"/>
      <c r="J154" s="100"/>
      <c r="K154" s="3"/>
      <c r="L154" s="100"/>
      <c r="M154" s="3"/>
      <c r="N154" s="3"/>
      <c r="O154" s="3"/>
      <c r="P154" s="100"/>
      <c r="Q154" s="3"/>
      <c r="R154" s="100"/>
      <c r="S154" s="59"/>
      <c r="T154" s="568"/>
      <c r="U154" s="568"/>
      <c r="V154" s="568"/>
      <c r="W154" s="568"/>
      <c r="X154" s="110"/>
      <c r="Y154" s="13"/>
    </row>
    <row r="155" spans="1:25" ht="12" customHeight="1" x14ac:dyDescent="0.2">
      <c r="A155" s="3"/>
      <c r="B155" s="3"/>
      <c r="C155" s="3"/>
      <c r="D155" s="134"/>
      <c r="E155" s="3"/>
      <c r="F155" s="134"/>
      <c r="G155" s="3"/>
      <c r="H155" s="100"/>
      <c r="I155" s="3"/>
      <c r="J155" s="100"/>
      <c r="K155" s="3"/>
      <c r="L155" s="100"/>
      <c r="M155" s="3"/>
      <c r="N155" s="3"/>
      <c r="O155" s="3"/>
      <c r="P155" s="100"/>
      <c r="Q155" s="3"/>
      <c r="R155" s="100"/>
      <c r="S155" s="59"/>
      <c r="T155" s="568"/>
      <c r="U155" s="568"/>
      <c r="V155" s="568"/>
      <c r="W155" s="568"/>
      <c r="X155" s="110"/>
      <c r="Y155" s="13"/>
    </row>
    <row r="156" spans="1:25" ht="12.75" customHeight="1" x14ac:dyDescent="0.2">
      <c r="A156" s="3"/>
      <c r="B156" s="3"/>
      <c r="C156" s="3"/>
      <c r="D156" s="134"/>
      <c r="E156" s="3"/>
      <c r="F156" s="134"/>
      <c r="G156" s="3"/>
      <c r="H156" s="100"/>
      <c r="I156" s="3"/>
      <c r="J156" s="100"/>
      <c r="K156" s="3"/>
      <c r="L156" s="100"/>
      <c r="M156" s="3"/>
      <c r="N156" s="3"/>
      <c r="O156" s="3"/>
      <c r="P156" s="100"/>
      <c r="Q156" s="3"/>
      <c r="R156" s="100"/>
      <c r="S156" s="59"/>
      <c r="T156" s="568"/>
      <c r="U156" s="568"/>
      <c r="V156" s="568"/>
      <c r="W156" s="568"/>
      <c r="X156" s="110"/>
      <c r="Y156" s="13"/>
    </row>
    <row r="157" spans="1:25" ht="12.75" customHeight="1" x14ac:dyDescent="0.2">
      <c r="A157" s="3"/>
      <c r="B157" s="3"/>
      <c r="C157" s="3"/>
      <c r="D157" s="134"/>
      <c r="E157" s="3"/>
      <c r="F157" s="134"/>
      <c r="G157" s="3"/>
      <c r="H157" s="100"/>
      <c r="I157" s="3"/>
      <c r="J157" s="100"/>
      <c r="K157" s="3"/>
      <c r="L157" s="100"/>
      <c r="M157" s="3"/>
      <c r="N157" s="3"/>
      <c r="O157" s="3"/>
      <c r="P157" s="100"/>
      <c r="Q157" s="3"/>
      <c r="R157" s="100"/>
      <c r="S157" s="59"/>
      <c r="T157" s="568"/>
      <c r="U157" s="568"/>
      <c r="V157" s="568"/>
      <c r="W157" s="568"/>
      <c r="X157" s="110"/>
      <c r="Y157" s="13"/>
    </row>
    <row r="158" spans="1:25" ht="12.75" customHeight="1" x14ac:dyDescent="0.2">
      <c r="A158" s="3"/>
      <c r="B158" s="3"/>
      <c r="C158" s="3"/>
      <c r="D158" s="134"/>
      <c r="E158" s="3"/>
      <c r="F158" s="134"/>
      <c r="G158" s="3"/>
      <c r="H158" s="100"/>
      <c r="I158" s="3"/>
      <c r="J158" s="100"/>
      <c r="K158" s="3"/>
      <c r="L158" s="100"/>
      <c r="M158" s="3"/>
      <c r="N158" s="3"/>
      <c r="O158" s="3"/>
      <c r="P158" s="100"/>
      <c r="Q158" s="3"/>
      <c r="R158" s="100"/>
      <c r="S158" s="59"/>
      <c r="T158" s="568"/>
      <c r="U158" s="568"/>
      <c r="V158" s="568"/>
      <c r="W158" s="568"/>
      <c r="X158" s="110"/>
      <c r="Y158" s="13"/>
    </row>
    <row r="159" spans="1:25" ht="12.75" customHeight="1" x14ac:dyDescent="0.2">
      <c r="A159" s="3"/>
      <c r="B159" s="3"/>
      <c r="C159" s="3"/>
      <c r="D159" s="134"/>
      <c r="E159" s="3"/>
      <c r="F159" s="134"/>
      <c r="G159" s="3"/>
      <c r="H159" s="100"/>
      <c r="I159" s="3"/>
      <c r="J159" s="100"/>
      <c r="K159" s="3"/>
      <c r="L159" s="100"/>
      <c r="M159" s="3"/>
      <c r="N159" s="3"/>
      <c r="O159" s="3"/>
      <c r="P159" s="100"/>
      <c r="Q159" s="3"/>
      <c r="R159" s="100"/>
      <c r="S159" s="59"/>
      <c r="T159" s="568"/>
      <c r="U159" s="568"/>
      <c r="V159" s="568"/>
      <c r="W159" s="568"/>
      <c r="X159" s="110"/>
      <c r="Y159" s="13"/>
    </row>
    <row r="160" spans="1:25" ht="12.75" customHeight="1" x14ac:dyDescent="0.2">
      <c r="A160" s="3"/>
      <c r="B160" s="3"/>
      <c r="C160" s="3"/>
      <c r="D160" s="134"/>
      <c r="E160" s="3"/>
      <c r="F160" s="134"/>
      <c r="G160" s="3"/>
      <c r="H160" s="100"/>
      <c r="I160" s="3"/>
      <c r="J160" s="100"/>
      <c r="K160" s="3"/>
      <c r="L160" s="100"/>
      <c r="M160" s="3"/>
      <c r="N160" s="3"/>
      <c r="O160" s="3"/>
      <c r="P160" s="100"/>
      <c r="Q160" s="3"/>
      <c r="R160" s="100"/>
      <c r="S160" s="59"/>
      <c r="T160" s="568"/>
      <c r="U160" s="568"/>
      <c r="V160" s="568"/>
      <c r="W160" s="568"/>
      <c r="X160" s="110"/>
      <c r="Y160" s="13"/>
    </row>
    <row r="161" spans="1:25" ht="12" customHeight="1" x14ac:dyDescent="0.2">
      <c r="A161" s="3"/>
      <c r="B161" s="3"/>
      <c r="C161" s="3"/>
      <c r="D161" s="134"/>
      <c r="E161" s="3"/>
      <c r="F161" s="134"/>
      <c r="G161" s="3"/>
      <c r="H161" s="100"/>
      <c r="I161" s="3"/>
      <c r="J161" s="100"/>
      <c r="K161" s="3"/>
      <c r="L161" s="100"/>
      <c r="M161" s="3"/>
      <c r="N161" s="3"/>
      <c r="O161" s="3"/>
      <c r="P161" s="100"/>
      <c r="Q161" s="3"/>
      <c r="R161" s="100"/>
      <c r="S161" s="59"/>
      <c r="T161" s="568"/>
      <c r="U161" s="568"/>
      <c r="V161" s="568"/>
      <c r="W161" s="568"/>
      <c r="X161" s="110"/>
      <c r="Y161" s="13"/>
    </row>
    <row r="162" spans="1:25" ht="12.75" customHeight="1" x14ac:dyDescent="0.2">
      <c r="A162" s="3"/>
      <c r="B162" s="3"/>
      <c r="C162" s="3"/>
      <c r="D162" s="134"/>
      <c r="E162" s="3"/>
      <c r="F162" s="134"/>
      <c r="G162" s="3"/>
      <c r="H162" s="100"/>
      <c r="I162" s="3"/>
      <c r="J162" s="100"/>
      <c r="K162" s="3"/>
      <c r="L162" s="100"/>
      <c r="M162" s="3"/>
      <c r="N162" s="3"/>
      <c r="O162" s="3"/>
      <c r="P162" s="100"/>
      <c r="Q162" s="3"/>
      <c r="R162" s="100"/>
      <c r="S162" s="59"/>
      <c r="T162" s="568"/>
      <c r="U162" s="568"/>
      <c r="V162" s="568"/>
      <c r="W162" s="568"/>
      <c r="X162" s="110"/>
      <c r="Y162" s="13"/>
    </row>
    <row r="163" spans="1:25" ht="13.5" customHeight="1" x14ac:dyDescent="0.2">
      <c r="A163" s="3"/>
      <c r="B163" s="3"/>
      <c r="C163" s="3"/>
      <c r="D163" s="134"/>
      <c r="E163" s="3"/>
      <c r="F163" s="134"/>
      <c r="G163" s="3"/>
      <c r="H163" s="100"/>
      <c r="I163" s="3"/>
      <c r="J163" s="100"/>
      <c r="K163" s="3"/>
      <c r="L163" s="100"/>
      <c r="M163" s="3"/>
      <c r="N163" s="3"/>
      <c r="O163" s="3"/>
      <c r="P163" s="100"/>
      <c r="Q163" s="3"/>
      <c r="R163" s="100"/>
      <c r="S163" s="59"/>
      <c r="T163" s="568"/>
      <c r="U163" s="568"/>
      <c r="V163" s="568"/>
      <c r="W163" s="568"/>
      <c r="X163" s="110"/>
      <c r="Y163" s="13"/>
    </row>
    <row r="164" spans="1:25" ht="12.75" customHeight="1" x14ac:dyDescent="0.2">
      <c r="A164" s="3"/>
      <c r="B164" s="3"/>
      <c r="C164" s="3"/>
      <c r="D164" s="134"/>
      <c r="E164" s="3"/>
      <c r="F164" s="134"/>
      <c r="G164" s="3"/>
      <c r="H164" s="100"/>
      <c r="I164" s="3"/>
      <c r="J164" s="100"/>
      <c r="K164" s="3"/>
      <c r="L164" s="100"/>
      <c r="M164" s="3"/>
      <c r="N164" s="3"/>
      <c r="O164" s="3"/>
      <c r="P164" s="100"/>
      <c r="Q164" s="3"/>
      <c r="R164" s="100"/>
      <c r="S164" s="59"/>
      <c r="T164" s="568"/>
      <c r="U164" s="568"/>
      <c r="V164" s="568"/>
      <c r="W164" s="568"/>
      <c r="X164" s="110"/>
      <c r="Y164" s="13"/>
    </row>
    <row r="165" spans="1:25" ht="14.25" customHeight="1" x14ac:dyDescent="0.2">
      <c r="A165" s="3"/>
      <c r="B165" s="3"/>
      <c r="C165" s="3"/>
      <c r="D165" s="134"/>
      <c r="E165" s="3"/>
      <c r="F165" s="134"/>
      <c r="G165" s="3"/>
      <c r="H165" s="100"/>
      <c r="I165" s="3"/>
      <c r="J165" s="100"/>
      <c r="K165" s="3"/>
      <c r="L165" s="100"/>
      <c r="M165" s="3"/>
      <c r="N165" s="3"/>
      <c r="O165" s="3"/>
      <c r="P165" s="100"/>
      <c r="Q165" s="3"/>
      <c r="R165" s="100"/>
      <c r="S165" s="59"/>
      <c r="T165" s="568"/>
      <c r="U165" s="568"/>
      <c r="V165" s="568"/>
      <c r="W165" s="568"/>
      <c r="X165" s="110"/>
      <c r="Y165" s="13"/>
    </row>
    <row r="166" spans="1:25" ht="12.75" customHeight="1" x14ac:dyDescent="0.2">
      <c r="A166" s="3"/>
      <c r="B166" s="3"/>
      <c r="C166" s="3"/>
      <c r="D166" s="134"/>
      <c r="E166" s="3"/>
      <c r="F166" s="134"/>
      <c r="G166" s="3"/>
      <c r="H166" s="100"/>
      <c r="I166" s="3"/>
      <c r="J166" s="100"/>
      <c r="K166" s="3"/>
      <c r="L166" s="100"/>
      <c r="M166" s="3"/>
      <c r="N166" s="3"/>
      <c r="O166" s="3"/>
      <c r="P166" s="100"/>
      <c r="Q166" s="3"/>
      <c r="R166" s="100"/>
      <c r="S166" s="59"/>
      <c r="T166" s="568"/>
      <c r="U166" s="568"/>
      <c r="V166" s="568"/>
      <c r="W166" s="568"/>
      <c r="X166" s="110"/>
      <c r="Y166" s="13"/>
    </row>
    <row r="167" spans="1:25" ht="13.5" customHeight="1" x14ac:dyDescent="0.2">
      <c r="A167" s="3"/>
      <c r="B167" s="3"/>
      <c r="C167" s="3"/>
      <c r="D167" s="134"/>
      <c r="E167" s="3"/>
      <c r="F167" s="134"/>
      <c r="G167" s="3"/>
      <c r="H167" s="100"/>
      <c r="I167" s="3"/>
      <c r="J167" s="100"/>
      <c r="K167" s="3"/>
      <c r="L167" s="100"/>
      <c r="M167" s="3"/>
      <c r="N167" s="3"/>
      <c r="O167" s="3"/>
      <c r="P167" s="100"/>
      <c r="Q167" s="3"/>
      <c r="R167" s="100"/>
      <c r="S167" s="59"/>
      <c r="T167" s="568"/>
      <c r="U167" s="568"/>
      <c r="V167" s="568"/>
      <c r="W167" s="568"/>
      <c r="X167" s="110"/>
      <c r="Y167" s="13"/>
    </row>
    <row r="168" spans="1:25" ht="13.5" customHeight="1" x14ac:dyDescent="0.2">
      <c r="A168" s="3"/>
      <c r="B168" s="3"/>
      <c r="C168" s="3"/>
      <c r="D168" s="134"/>
      <c r="E168" s="3"/>
      <c r="F168" s="134"/>
      <c r="G168" s="3"/>
      <c r="H168" s="100"/>
      <c r="I168" s="3"/>
      <c r="J168" s="100"/>
      <c r="K168" s="3"/>
      <c r="L168" s="100"/>
      <c r="M168" s="3"/>
      <c r="N168" s="3"/>
      <c r="O168" s="3"/>
      <c r="P168" s="100"/>
      <c r="Q168" s="3"/>
      <c r="R168" s="100"/>
      <c r="S168" s="59"/>
      <c r="T168" s="568"/>
      <c r="U168" s="568"/>
      <c r="V168" s="568"/>
      <c r="W168" s="568"/>
      <c r="X168" s="110"/>
      <c r="Y168" s="13"/>
    </row>
    <row r="169" spans="1:25" ht="12.75" customHeight="1" x14ac:dyDescent="0.2">
      <c r="A169" s="3"/>
      <c r="B169" s="3"/>
      <c r="C169" s="3"/>
      <c r="D169" s="134"/>
      <c r="E169" s="3"/>
      <c r="F169" s="134"/>
      <c r="G169" s="3"/>
      <c r="H169" s="100"/>
      <c r="I169" s="3"/>
      <c r="J169" s="100"/>
      <c r="K169" s="3"/>
      <c r="L169" s="100"/>
      <c r="M169" s="3"/>
      <c r="N169" s="3"/>
      <c r="O169" s="3"/>
      <c r="P169" s="100"/>
      <c r="Q169" s="3"/>
      <c r="R169" s="100"/>
      <c r="S169" s="59"/>
      <c r="T169" s="568"/>
      <c r="U169" s="568"/>
      <c r="V169" s="568"/>
      <c r="W169" s="568"/>
      <c r="X169" s="110"/>
      <c r="Y169" s="13"/>
    </row>
    <row r="170" spans="1:25" ht="14.25" customHeight="1" x14ac:dyDescent="0.2">
      <c r="A170" s="3"/>
      <c r="B170" s="3"/>
      <c r="C170" s="3"/>
      <c r="D170" s="569"/>
      <c r="E170" s="569"/>
      <c r="F170" s="569"/>
      <c r="G170" s="569"/>
      <c r="H170" s="569"/>
      <c r="I170" s="569"/>
      <c r="J170" s="569"/>
      <c r="K170" s="569"/>
      <c r="L170" s="569"/>
      <c r="M170" s="569"/>
      <c r="N170" s="569"/>
      <c r="O170" s="569"/>
      <c r="P170" s="569"/>
      <c r="Q170" s="569"/>
      <c r="R170" s="569"/>
      <c r="S170" s="72"/>
      <c r="T170" s="568"/>
      <c r="U170" s="568"/>
      <c r="V170" s="568"/>
      <c r="W170" s="568"/>
      <c r="X170" s="110"/>
      <c r="Y170" s="13"/>
    </row>
    <row r="171" spans="1:25" ht="12" customHeight="1" x14ac:dyDescent="0.2">
      <c r="A171" s="3"/>
      <c r="B171" s="3"/>
      <c r="C171" s="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3"/>
      <c r="Q171" s="473"/>
      <c r="R171" s="473"/>
      <c r="S171" s="473"/>
      <c r="T171" s="473"/>
      <c r="U171" s="473"/>
      <c r="V171" s="473"/>
      <c r="W171" s="3"/>
      <c r="X171" s="110"/>
      <c r="Y171" s="13"/>
    </row>
    <row r="172" spans="1:25" ht="11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110"/>
      <c r="Y172" s="13"/>
    </row>
    <row r="173" spans="1:25" ht="27" customHeight="1" x14ac:dyDescent="0.2">
      <c r="A173" s="3"/>
      <c r="B173" s="3"/>
      <c r="C173" s="3"/>
      <c r="D173" s="100"/>
      <c r="E173" s="3"/>
      <c r="F173" s="100"/>
      <c r="G173" s="3"/>
      <c r="H173" s="100"/>
      <c r="I173" s="3"/>
      <c r="J173" s="100"/>
      <c r="K173" s="3"/>
      <c r="L173" s="100"/>
      <c r="M173" s="3"/>
      <c r="N173" s="3"/>
      <c r="O173" s="3"/>
      <c r="P173" s="100"/>
      <c r="Q173" s="3"/>
      <c r="R173" s="100"/>
      <c r="S173" s="271"/>
      <c r="T173" s="571"/>
      <c r="U173" s="571"/>
      <c r="V173" s="571"/>
      <c r="W173" s="571"/>
      <c r="X173" s="110"/>
      <c r="Y173" s="13"/>
    </row>
    <row r="174" spans="1:25" ht="12.75" customHeight="1" x14ac:dyDescent="0.2">
      <c r="A174" s="3"/>
      <c r="B174" s="3"/>
      <c r="C174" s="3"/>
      <c r="D174" s="134"/>
      <c r="E174" s="3"/>
      <c r="F174" s="134"/>
      <c r="G174" s="3"/>
      <c r="H174" s="100"/>
      <c r="I174" s="3"/>
      <c r="J174" s="100"/>
      <c r="K174" s="3"/>
      <c r="L174" s="100"/>
      <c r="M174" s="3"/>
      <c r="N174" s="3"/>
      <c r="O174" s="3"/>
      <c r="P174" s="100"/>
      <c r="Q174" s="3"/>
      <c r="R174" s="100"/>
      <c r="S174" s="16"/>
      <c r="T174" s="568"/>
      <c r="U174" s="568"/>
      <c r="V174" s="568"/>
      <c r="W174" s="568"/>
      <c r="X174" s="110"/>
      <c r="Y174" s="13"/>
    </row>
    <row r="175" spans="1:25" ht="14.25" customHeight="1" x14ac:dyDescent="0.2">
      <c r="A175" s="3"/>
      <c r="B175" s="3"/>
      <c r="C175" s="3"/>
      <c r="D175" s="134"/>
      <c r="E175" s="3"/>
      <c r="F175" s="134"/>
      <c r="G175" s="3"/>
      <c r="H175" s="100"/>
      <c r="I175" s="3"/>
      <c r="J175" s="100"/>
      <c r="K175" s="3"/>
      <c r="L175" s="100"/>
      <c r="M175" s="3"/>
      <c r="N175" s="3"/>
      <c r="O175" s="3"/>
      <c r="P175" s="100"/>
      <c r="Q175" s="3"/>
      <c r="R175" s="100"/>
      <c r="S175" s="16"/>
      <c r="T175" s="568"/>
      <c r="U175" s="568"/>
      <c r="V175" s="568"/>
      <c r="W175" s="568"/>
      <c r="X175" s="110"/>
      <c r="Y175" s="13"/>
    </row>
    <row r="176" spans="1:25" ht="12.75" customHeight="1" x14ac:dyDescent="0.2">
      <c r="A176" s="3"/>
      <c r="B176" s="3"/>
      <c r="C176" s="3"/>
      <c r="D176" s="134"/>
      <c r="E176" s="3"/>
      <c r="F176" s="272"/>
      <c r="G176" s="3"/>
      <c r="H176" s="100"/>
      <c r="I176" s="3"/>
      <c r="J176" s="100"/>
      <c r="K176" s="3"/>
      <c r="L176" s="100"/>
      <c r="M176" s="3"/>
      <c r="N176" s="3"/>
      <c r="O176" s="3"/>
      <c r="P176" s="100"/>
      <c r="Q176" s="3"/>
      <c r="R176" s="100"/>
      <c r="S176" s="16"/>
      <c r="T176" s="568"/>
      <c r="U176" s="568"/>
      <c r="V176" s="568"/>
      <c r="W176" s="568"/>
      <c r="X176" s="110"/>
      <c r="Y176" s="13"/>
    </row>
    <row r="177" spans="1:25" ht="12.75" customHeight="1" x14ac:dyDescent="0.2">
      <c r="A177" s="3"/>
      <c r="B177" s="3"/>
      <c r="C177" s="3"/>
      <c r="D177" s="134"/>
      <c r="E177" s="3"/>
      <c r="F177" s="134"/>
      <c r="G177" s="3"/>
      <c r="H177" s="100"/>
      <c r="I177" s="3"/>
      <c r="J177" s="100"/>
      <c r="K177" s="3"/>
      <c r="L177" s="100"/>
      <c r="M177" s="3"/>
      <c r="N177" s="3"/>
      <c r="O177" s="3"/>
      <c r="P177" s="100"/>
      <c r="Q177" s="3"/>
      <c r="R177" s="100"/>
      <c r="S177" s="16"/>
      <c r="T177" s="568"/>
      <c r="U177" s="568"/>
      <c r="V177" s="568"/>
      <c r="W177" s="568"/>
      <c r="X177" s="110"/>
      <c r="Y177" s="13"/>
    </row>
    <row r="178" spans="1:25" ht="13.5" customHeight="1" x14ac:dyDescent="0.2">
      <c r="A178" s="3"/>
      <c r="B178" s="3"/>
      <c r="C178" s="3"/>
      <c r="D178" s="134"/>
      <c r="E178" s="3"/>
      <c r="F178" s="134"/>
      <c r="G178" s="3"/>
      <c r="H178" s="100"/>
      <c r="I178" s="3"/>
      <c r="J178" s="100"/>
      <c r="K178" s="3"/>
      <c r="L178" s="100"/>
      <c r="M178" s="3"/>
      <c r="N178" s="3"/>
      <c r="O178" s="3"/>
      <c r="P178" s="100"/>
      <c r="Q178" s="3"/>
      <c r="R178" s="100"/>
      <c r="S178" s="16"/>
      <c r="T178" s="568"/>
      <c r="U178" s="568"/>
      <c r="V178" s="568"/>
      <c r="W178" s="568"/>
      <c r="X178" s="110"/>
      <c r="Y178" s="13"/>
    </row>
    <row r="179" spans="1:25" ht="15.75" customHeight="1" x14ac:dyDescent="0.2">
      <c r="A179" s="3"/>
      <c r="B179" s="3"/>
      <c r="C179" s="3"/>
      <c r="D179" s="134"/>
      <c r="E179" s="3"/>
      <c r="F179" s="273"/>
      <c r="G179" s="3"/>
      <c r="H179" s="100"/>
      <c r="I179" s="3"/>
      <c r="J179" s="100"/>
      <c r="K179" s="3"/>
      <c r="L179" s="100"/>
      <c r="M179" s="3"/>
      <c r="N179" s="3"/>
      <c r="O179" s="3"/>
      <c r="P179" s="100"/>
      <c r="Q179" s="3"/>
      <c r="R179" s="100"/>
      <c r="S179" s="16"/>
      <c r="T179" s="568"/>
      <c r="U179" s="568"/>
      <c r="V179" s="568"/>
      <c r="W179" s="568"/>
      <c r="X179" s="110"/>
      <c r="Y179" s="13"/>
    </row>
    <row r="180" spans="1:25" ht="13.5" customHeight="1" x14ac:dyDescent="0.2">
      <c r="A180" s="3"/>
      <c r="B180" s="3"/>
      <c r="C180" s="3"/>
      <c r="D180" s="134"/>
      <c r="E180" s="3"/>
      <c r="F180" s="272"/>
      <c r="G180" s="3"/>
      <c r="H180" s="100"/>
      <c r="I180" s="3"/>
      <c r="J180" s="100"/>
      <c r="K180" s="3"/>
      <c r="L180" s="100"/>
      <c r="M180" s="3"/>
      <c r="N180" s="3"/>
      <c r="O180" s="3"/>
      <c r="P180" s="100"/>
      <c r="Q180" s="3"/>
      <c r="R180" s="100"/>
      <c r="S180" s="16"/>
      <c r="T180" s="568"/>
      <c r="U180" s="568"/>
      <c r="V180" s="568"/>
      <c r="W180" s="568"/>
      <c r="X180" s="110"/>
      <c r="Y180" s="13"/>
    </row>
    <row r="181" spans="1:25" ht="12.75" customHeight="1" x14ac:dyDescent="0.2">
      <c r="A181" s="3"/>
      <c r="B181" s="3"/>
      <c r="C181" s="3"/>
      <c r="D181" s="134"/>
      <c r="E181" s="3"/>
      <c r="F181" s="134"/>
      <c r="G181" s="3"/>
      <c r="H181" s="100"/>
      <c r="I181" s="3"/>
      <c r="J181" s="100"/>
      <c r="K181" s="3"/>
      <c r="L181" s="100"/>
      <c r="M181" s="3"/>
      <c r="N181" s="3"/>
      <c r="O181" s="3"/>
      <c r="P181" s="100"/>
      <c r="Q181" s="3"/>
      <c r="R181" s="100"/>
      <c r="S181" s="16"/>
      <c r="T181" s="568"/>
      <c r="U181" s="568"/>
      <c r="V181" s="568"/>
      <c r="W181" s="568"/>
      <c r="X181" s="110"/>
      <c r="Y181" s="13"/>
    </row>
    <row r="182" spans="1:25" ht="14.25" customHeight="1" x14ac:dyDescent="0.2">
      <c r="A182" s="3"/>
      <c r="B182" s="3"/>
      <c r="C182" s="3"/>
      <c r="D182" s="134"/>
      <c r="E182" s="3"/>
      <c r="F182" s="134"/>
      <c r="G182" s="3"/>
      <c r="H182" s="100"/>
      <c r="I182" s="3"/>
      <c r="J182" s="100"/>
      <c r="K182" s="3"/>
      <c r="L182" s="100"/>
      <c r="M182" s="3"/>
      <c r="N182" s="3"/>
      <c r="O182" s="3"/>
      <c r="P182" s="100"/>
      <c r="Q182" s="3"/>
      <c r="R182" s="100"/>
      <c r="S182" s="16"/>
      <c r="T182" s="568"/>
      <c r="U182" s="568"/>
      <c r="V182" s="568"/>
      <c r="W182" s="568"/>
      <c r="X182" s="110"/>
      <c r="Y182" s="13"/>
    </row>
    <row r="183" spans="1:25" ht="18.75" customHeight="1" x14ac:dyDescent="0.2">
      <c r="A183" s="3"/>
      <c r="B183" s="3"/>
      <c r="C183" s="3"/>
      <c r="D183" s="569"/>
      <c r="E183" s="569"/>
      <c r="F183" s="569"/>
      <c r="G183" s="569"/>
      <c r="H183" s="569"/>
      <c r="I183" s="569"/>
      <c r="J183" s="569"/>
      <c r="K183" s="569"/>
      <c r="L183" s="569"/>
      <c r="M183" s="569"/>
      <c r="N183" s="569"/>
      <c r="O183" s="569"/>
      <c r="P183" s="569"/>
      <c r="Q183" s="569"/>
      <c r="R183" s="569"/>
      <c r="S183" s="72"/>
      <c r="T183" s="568"/>
      <c r="U183" s="568"/>
      <c r="V183" s="568"/>
      <c r="W183" s="568"/>
      <c r="X183" s="110"/>
      <c r="Y183" s="13"/>
    </row>
    <row r="184" spans="1:25" ht="23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3"/>
      <c r="Y184" s="13"/>
    </row>
    <row r="185" spans="1:25" ht="21" customHeight="1" x14ac:dyDescent="0.2">
      <c r="A185" s="3"/>
      <c r="B185" s="3"/>
      <c r="C185" s="3"/>
      <c r="D185" s="570"/>
      <c r="E185" s="570"/>
      <c r="F185" s="570"/>
      <c r="G185" s="570"/>
      <c r="H185" s="570"/>
      <c r="I185" s="570"/>
      <c r="J185" s="570"/>
      <c r="K185" s="570"/>
      <c r="L185" s="570"/>
      <c r="M185" s="570"/>
      <c r="N185" s="570"/>
      <c r="O185" s="570"/>
      <c r="P185" s="570"/>
      <c r="Q185" s="570"/>
      <c r="R185" s="570"/>
      <c r="S185" s="15"/>
      <c r="T185" s="3"/>
      <c r="U185" s="3"/>
      <c r="V185" s="3"/>
      <c r="W185" s="3"/>
      <c r="X185" s="13"/>
      <c r="Y185" s="13"/>
    </row>
    <row r="186" spans="1:25" ht="25.5" customHeight="1" x14ac:dyDescent="0.2">
      <c r="A186" s="3"/>
      <c r="B186" s="3"/>
      <c r="C186" s="3"/>
      <c r="D186" s="569"/>
      <c r="E186" s="569"/>
      <c r="F186" s="569"/>
      <c r="G186" s="569"/>
      <c r="H186" s="569"/>
      <c r="I186" s="569"/>
      <c r="J186" s="569"/>
      <c r="K186" s="569"/>
      <c r="L186" s="569"/>
      <c r="M186" s="569"/>
      <c r="N186" s="569"/>
      <c r="O186" s="569"/>
      <c r="P186" s="569"/>
      <c r="Q186" s="569"/>
      <c r="R186" s="569"/>
      <c r="S186" s="15"/>
      <c r="T186" s="3"/>
      <c r="U186" s="3"/>
      <c r="V186" s="3"/>
      <c r="W186" s="3"/>
      <c r="X186" s="13"/>
      <c r="Y186" s="13"/>
    </row>
    <row r="187" spans="1:25" ht="6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</sheetData>
  <mergeCells count="220">
    <mergeCell ref="C1:T1"/>
    <mergeCell ref="X1:Z4"/>
    <mergeCell ref="D3:V3"/>
    <mergeCell ref="T5:W5"/>
    <mergeCell ref="D6:F6"/>
    <mergeCell ref="T7:W7"/>
    <mergeCell ref="T8:W8"/>
    <mergeCell ref="T9:W9"/>
    <mergeCell ref="T10:W10"/>
    <mergeCell ref="T11:W11"/>
    <mergeCell ref="D12:R12"/>
    <mergeCell ref="T12:W12"/>
    <mergeCell ref="X12:Z13"/>
    <mergeCell ref="D13:R13"/>
    <mergeCell ref="T13:W13"/>
    <mergeCell ref="D14:R14"/>
    <mergeCell ref="T14:W14"/>
    <mergeCell ref="D15:R15"/>
    <mergeCell ref="T15:W15"/>
    <mergeCell ref="D16:R16"/>
    <mergeCell ref="T16:Z17"/>
    <mergeCell ref="D17:R17"/>
    <mergeCell ref="D18:R18"/>
    <mergeCell ref="D19:R19"/>
    <mergeCell ref="D20:R20"/>
    <mergeCell ref="D21:F21"/>
    <mergeCell ref="T22:W22"/>
    <mergeCell ref="T23:W23"/>
    <mergeCell ref="T24:W24"/>
    <mergeCell ref="D25:R25"/>
    <mergeCell ref="T25:W25"/>
    <mergeCell ref="X25:Z26"/>
    <mergeCell ref="D26:R26"/>
    <mergeCell ref="T26:W26"/>
    <mergeCell ref="D27:R27"/>
    <mergeCell ref="T27:W27"/>
    <mergeCell ref="D28:R28"/>
    <mergeCell ref="T28:W28"/>
    <mergeCell ref="D29:R29"/>
    <mergeCell ref="T29:Z30"/>
    <mergeCell ref="D30:R30"/>
    <mergeCell ref="D31:R31"/>
    <mergeCell ref="D32:R32"/>
    <mergeCell ref="D33:R33"/>
    <mergeCell ref="D34:F34"/>
    <mergeCell ref="T35:W35"/>
    <mergeCell ref="T36:W36"/>
    <mergeCell ref="T37:W37"/>
    <mergeCell ref="T38:W38"/>
    <mergeCell ref="T39:W39"/>
    <mergeCell ref="D40:R40"/>
    <mergeCell ref="T40:W40"/>
    <mergeCell ref="X40:Z41"/>
    <mergeCell ref="D41:R41"/>
    <mergeCell ref="T41:W41"/>
    <mergeCell ref="D42:R42"/>
    <mergeCell ref="T42:W42"/>
    <mergeCell ref="D43:R43"/>
    <mergeCell ref="T43:W43"/>
    <mergeCell ref="D44:R44"/>
    <mergeCell ref="T44:Z45"/>
    <mergeCell ref="D45:R45"/>
    <mergeCell ref="D46:R46"/>
    <mergeCell ref="D47:R47"/>
    <mergeCell ref="D48:R48"/>
    <mergeCell ref="D49:F49"/>
    <mergeCell ref="T50:W50"/>
    <mergeCell ref="T51:W51"/>
    <mergeCell ref="T52:W52"/>
    <mergeCell ref="T53:W53"/>
    <mergeCell ref="T54:W54"/>
    <mergeCell ref="T55:W55"/>
    <mergeCell ref="T56:W56"/>
    <mergeCell ref="T57:W57"/>
    <mergeCell ref="T58:W58"/>
    <mergeCell ref="T59:W59"/>
    <mergeCell ref="T60:W60"/>
    <mergeCell ref="D61:R61"/>
    <mergeCell ref="T61:W61"/>
    <mergeCell ref="X61:Z62"/>
    <mergeCell ref="D62:R62"/>
    <mergeCell ref="T62:W62"/>
    <mergeCell ref="D63:R63"/>
    <mergeCell ref="T63:W63"/>
    <mergeCell ref="D64:R64"/>
    <mergeCell ref="T64:W64"/>
    <mergeCell ref="D65:R65"/>
    <mergeCell ref="T65:Z66"/>
    <mergeCell ref="D66:R66"/>
    <mergeCell ref="D67:R67"/>
    <mergeCell ref="D68:R68"/>
    <mergeCell ref="D69:R69"/>
    <mergeCell ref="D70:F70"/>
    <mergeCell ref="T71:W71"/>
    <mergeCell ref="T72:W72"/>
    <mergeCell ref="T73:W73"/>
    <mergeCell ref="T74:W74"/>
    <mergeCell ref="D75:R75"/>
    <mergeCell ref="T75:W75"/>
    <mergeCell ref="X75:Z76"/>
    <mergeCell ref="D76:R76"/>
    <mergeCell ref="T76:W76"/>
    <mergeCell ref="D77:R77"/>
    <mergeCell ref="T77:W77"/>
    <mergeCell ref="D78:R78"/>
    <mergeCell ref="T78:W78"/>
    <mergeCell ref="D79:R79"/>
    <mergeCell ref="T79:Z80"/>
    <mergeCell ref="D80:R80"/>
    <mergeCell ref="D81:R81"/>
    <mergeCell ref="D82:R82"/>
    <mergeCell ref="D83:R83"/>
    <mergeCell ref="T84:W84"/>
    <mergeCell ref="T85:W85"/>
    <mergeCell ref="T86:W86"/>
    <mergeCell ref="D87:V87"/>
    <mergeCell ref="X87:Z88"/>
    <mergeCell ref="T89:W89"/>
    <mergeCell ref="T90:W90"/>
    <mergeCell ref="T91:W91"/>
    <mergeCell ref="T92:W92"/>
    <mergeCell ref="T93:W93"/>
    <mergeCell ref="T94:W94"/>
    <mergeCell ref="T95:W95"/>
    <mergeCell ref="T96:W96"/>
    <mergeCell ref="T99:W99"/>
    <mergeCell ref="T100:W100"/>
    <mergeCell ref="D101:R101"/>
    <mergeCell ref="T101:W101"/>
    <mergeCell ref="T97:W97"/>
    <mergeCell ref="T98:W98"/>
    <mergeCell ref="X101:Y102"/>
    <mergeCell ref="D102:R102"/>
    <mergeCell ref="S102:W102"/>
    <mergeCell ref="D103:R103"/>
    <mergeCell ref="T103:W103"/>
    <mergeCell ref="C105:T105"/>
    <mergeCell ref="D107:V107"/>
    <mergeCell ref="D109:R109"/>
    <mergeCell ref="T109:W109"/>
    <mergeCell ref="D110:R110"/>
    <mergeCell ref="T110:W110"/>
    <mergeCell ref="D111:R111"/>
    <mergeCell ref="T111:W111"/>
    <mergeCell ref="D112:R112"/>
    <mergeCell ref="T112:W113"/>
    <mergeCell ref="X112:X113"/>
    <mergeCell ref="D113:R113"/>
    <mergeCell ref="D114:R114"/>
    <mergeCell ref="T114:W115"/>
    <mergeCell ref="X114:X115"/>
    <mergeCell ref="D115:R115"/>
    <mergeCell ref="S116:S117"/>
    <mergeCell ref="T116:W117"/>
    <mergeCell ref="X116:X117"/>
    <mergeCell ref="D118:R118"/>
    <mergeCell ref="T118:W118"/>
    <mergeCell ref="D119:R119"/>
    <mergeCell ref="T119:W119"/>
    <mergeCell ref="C122:T122"/>
    <mergeCell ref="D124:V124"/>
    <mergeCell ref="T126:W126"/>
    <mergeCell ref="T127:W127"/>
    <mergeCell ref="T128:W128"/>
    <mergeCell ref="D129:R129"/>
    <mergeCell ref="T129:W129"/>
    <mergeCell ref="D130:R130"/>
    <mergeCell ref="T130:W130"/>
    <mergeCell ref="D131:U131"/>
    <mergeCell ref="D132:W132"/>
    <mergeCell ref="T134:W134"/>
    <mergeCell ref="T135:W135"/>
    <mergeCell ref="C137:T137"/>
    <mergeCell ref="D139:V139"/>
    <mergeCell ref="T141:W141"/>
    <mergeCell ref="T142:W142"/>
    <mergeCell ref="T143:W143"/>
    <mergeCell ref="T144:W144"/>
    <mergeCell ref="T145:W145"/>
    <mergeCell ref="T146:W146"/>
    <mergeCell ref="T147:W147"/>
    <mergeCell ref="T148:W148"/>
    <mergeCell ref="T149:W149"/>
    <mergeCell ref="T150:W150"/>
    <mergeCell ref="T151:W151"/>
    <mergeCell ref="T152:W152"/>
    <mergeCell ref="T153:W153"/>
    <mergeCell ref="T154:W154"/>
    <mergeCell ref="T155:W155"/>
    <mergeCell ref="T156:W156"/>
    <mergeCell ref="T157:W157"/>
    <mergeCell ref="T158:W158"/>
    <mergeCell ref="T159:W159"/>
    <mergeCell ref="T160:W160"/>
    <mergeCell ref="T161:W161"/>
    <mergeCell ref="T162:W162"/>
    <mergeCell ref="T163:W163"/>
    <mergeCell ref="T164:W164"/>
    <mergeCell ref="T165:W165"/>
    <mergeCell ref="T166:W166"/>
    <mergeCell ref="T167:W167"/>
    <mergeCell ref="T168:W168"/>
    <mergeCell ref="T169:W169"/>
    <mergeCell ref="D170:R170"/>
    <mergeCell ref="T170:W170"/>
    <mergeCell ref="D171:V171"/>
    <mergeCell ref="T182:W182"/>
    <mergeCell ref="D183:R183"/>
    <mergeCell ref="T183:W183"/>
    <mergeCell ref="D185:R185"/>
    <mergeCell ref="D186:R186"/>
    <mergeCell ref="T173:W173"/>
    <mergeCell ref="T174:W174"/>
    <mergeCell ref="T175:W175"/>
    <mergeCell ref="T176:W176"/>
    <mergeCell ref="T177:W177"/>
    <mergeCell ref="T178:W178"/>
    <mergeCell ref="T179:W179"/>
    <mergeCell ref="T180:W180"/>
    <mergeCell ref="T181:W181"/>
  </mergeCells>
  <pageMargins left="0.78749999999999998" right="0.78749999999999998" top="0.98402777777777795" bottom="0.98402777777777795" header="0.51180555555555496" footer="0.51180555555555496"/>
  <pageSetup paperSize="9" firstPageNumber="0" orientation="portrait" verticalDpi="4294967294" r:id="rId1"/>
  <rowBreaks count="3" manualBreakCount="3">
    <brk id="48" max="16383" man="1"/>
    <brk id="83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topLeftCell="D13" zoomScale="70" zoomScaleNormal="55" zoomScaleSheetLayoutView="70" zoomScalePageLayoutView="120" workbookViewId="0">
      <selection activeCell="W47" sqref="W47"/>
    </sheetView>
  </sheetViews>
  <sheetFormatPr defaultRowHeight="12.75" x14ac:dyDescent="0.2"/>
  <cols>
    <col min="1" max="3" width="0" hidden="1"/>
    <col min="4" max="4" width="1.85546875"/>
    <col min="5" max="5" width="2.28515625"/>
    <col min="6" max="6" width="5.28515625"/>
    <col min="7" max="7" width="4.5703125"/>
    <col min="8" max="9" width="5.85546875"/>
    <col min="10" max="10" width="7.28515625"/>
    <col min="11" max="13" width="8.7109375"/>
    <col min="17" max="17" width="9.28515625"/>
    <col min="18" max="18" width="12.28515625"/>
    <col min="19" max="19" width="2.140625"/>
    <col min="20" max="20" width="3.7109375"/>
    <col min="21" max="21" width="6.140625"/>
    <col min="22" max="22" width="23.42578125"/>
    <col min="23" max="24" width="22.7109375"/>
    <col min="25" max="25" width="24.85546875"/>
    <col min="26" max="26" width="25.140625"/>
    <col min="27" max="27" width="30.42578125"/>
    <col min="28" max="28" width="3.42578125"/>
    <col min="29" max="1025" width="8.7109375"/>
  </cols>
  <sheetData>
    <row r="1" spans="1:27" ht="20.25" customHeight="1" x14ac:dyDescent="0.2">
      <c r="A1" s="606" t="s">
        <v>431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</row>
    <row r="2" spans="1:27" ht="13.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</row>
    <row r="3" spans="1:27" ht="16.5" customHeight="1" thickBot="1" x14ac:dyDescent="0.3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607" t="s">
        <v>349</v>
      </c>
      <c r="T3" s="607"/>
      <c r="U3" s="607"/>
      <c r="V3" s="607"/>
      <c r="W3" s="276" t="s">
        <v>350</v>
      </c>
      <c r="X3" s="277" t="s">
        <v>351</v>
      </c>
      <c r="Y3" s="278" t="s">
        <v>352</v>
      </c>
      <c r="Z3" s="278" t="s">
        <v>353</v>
      </c>
      <c r="AA3" s="279" t="s">
        <v>354</v>
      </c>
    </row>
    <row r="4" spans="1:27" ht="15.6" customHeight="1" thickBot="1" x14ac:dyDescent="0.25">
      <c r="A4" s="274"/>
      <c r="B4" s="275"/>
      <c r="C4" s="275"/>
      <c r="D4" s="275"/>
      <c r="E4" s="583" t="s">
        <v>355</v>
      </c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280">
        <f>'PART-OCC-UNIR'!S20</f>
        <v>1217.1142500000003</v>
      </c>
      <c r="S4" s="584">
        <f>'PART-OCC-UNIR'!T20</f>
        <v>0.10160190121469076</v>
      </c>
      <c r="T4" s="608"/>
      <c r="U4" s="608"/>
      <c r="V4" s="609"/>
      <c r="W4" s="281">
        <f>'PART-OCC-UNIR'!S26</f>
        <v>0.11723470353566658</v>
      </c>
      <c r="X4" s="282">
        <f>'PART-OCC-UNIR'!S27</f>
        <v>0.10316518144678835</v>
      </c>
      <c r="Y4" s="283">
        <f>X4*Y23</f>
        <v>0</v>
      </c>
      <c r="Z4" s="283">
        <f>X4*Z23</f>
        <v>0</v>
      </c>
      <c r="AA4" s="284">
        <f>X4*AA23</f>
        <v>0</v>
      </c>
    </row>
    <row r="5" spans="1:27" ht="15.75" thickBot="1" x14ac:dyDescent="0.25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85"/>
      <c r="X5" s="285"/>
      <c r="Y5" s="286"/>
      <c r="Z5" s="287"/>
      <c r="AA5" s="284"/>
    </row>
    <row r="6" spans="1:27" ht="16.5" customHeight="1" x14ac:dyDescent="0.2">
      <c r="A6" s="274"/>
      <c r="B6" s="275"/>
      <c r="C6" s="275"/>
      <c r="D6" s="275"/>
      <c r="E6" s="583" t="s">
        <v>356</v>
      </c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280">
        <f>'PART-OCC-UNIR'!S38</f>
        <v>728.06360000000006</v>
      </c>
      <c r="S6" s="584">
        <f>'PART-OCC-UNIR'!T38</f>
        <v>6.0777076568787287E-2</v>
      </c>
      <c r="T6" s="584"/>
      <c r="U6" s="584"/>
      <c r="V6" s="584"/>
      <c r="W6" s="281">
        <f>'PART-OCC-UNIR'!S44</f>
        <v>0.11716170364036917</v>
      </c>
      <c r="X6" s="282">
        <f>'PART-OCC-UNIR'!S45</f>
        <v>6.6415539275945484E-2</v>
      </c>
      <c r="Y6" s="283">
        <f>X6*Y23</f>
        <v>0</v>
      </c>
      <c r="Z6" s="283">
        <f>X6*Z23</f>
        <v>0</v>
      </c>
      <c r="AA6" s="284">
        <f>X6*AA23</f>
        <v>0</v>
      </c>
    </row>
    <row r="7" spans="1:27" ht="15" x14ac:dyDescent="0.2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85"/>
      <c r="X7" s="285"/>
      <c r="Y7" s="286"/>
      <c r="Z7" s="287"/>
      <c r="AA7" s="284"/>
    </row>
    <row r="8" spans="1:27" ht="16.5" customHeight="1" x14ac:dyDescent="0.2">
      <c r="A8" s="274"/>
      <c r="B8" s="275"/>
      <c r="C8" s="275"/>
      <c r="D8" s="275"/>
      <c r="E8" s="583" t="s">
        <v>357</v>
      </c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280">
        <f>'PART-OCC-UNIR'!S65</f>
        <v>1273.0041500000002</v>
      </c>
      <c r="S8" s="584">
        <f>'PART-OCC-UNIR'!T65</f>
        <v>0.10626746165710521</v>
      </c>
      <c r="T8" s="584"/>
      <c r="U8" s="584"/>
      <c r="V8" s="584"/>
      <c r="W8" s="281">
        <f>'PART-OCC-UNIR'!S71</f>
        <v>0.1272720852399451</v>
      </c>
      <c r="X8" s="282">
        <f>'PART-OCC-UNIR'!S72</f>
        <v>0.10836792401538919</v>
      </c>
      <c r="Y8" s="283">
        <f>X8*Y23</f>
        <v>0</v>
      </c>
      <c r="Z8" s="283">
        <f>X8*Z23</f>
        <v>0</v>
      </c>
      <c r="AA8" s="284">
        <f>X8*AA23</f>
        <v>0</v>
      </c>
    </row>
    <row r="9" spans="1:27" ht="15" x14ac:dyDescent="0.2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85"/>
      <c r="X9" s="285"/>
      <c r="Y9" s="286"/>
      <c r="Z9" s="287"/>
      <c r="AA9" s="284"/>
    </row>
    <row r="10" spans="1:27" ht="16.5" customHeight="1" x14ac:dyDescent="0.2">
      <c r="A10" s="274"/>
      <c r="B10" s="275"/>
      <c r="C10" s="275"/>
      <c r="D10" s="275"/>
      <c r="E10" s="583" t="s">
        <v>358</v>
      </c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280">
        <f>'PART-OCC-UNIR'!S85</f>
        <v>1947.7775000000001</v>
      </c>
      <c r="S10" s="584">
        <f>'PART-OCC-UNIR'!T85</f>
        <v>0.162595990592664</v>
      </c>
      <c r="T10" s="584"/>
      <c r="U10" s="584"/>
      <c r="V10" s="584"/>
      <c r="W10" s="281">
        <f>'PART-OCC-UNIR'!S91</f>
        <v>0.14644248577864696</v>
      </c>
      <c r="X10" s="282">
        <f>'PART-OCC-UNIR'!S92</f>
        <v>0.16098064011126231</v>
      </c>
      <c r="Y10" s="283">
        <f>X10*Y23</f>
        <v>0</v>
      </c>
      <c r="Z10" s="283">
        <f>X10*Z23</f>
        <v>0</v>
      </c>
      <c r="AA10" s="284">
        <f>X10*AA23</f>
        <v>0</v>
      </c>
    </row>
    <row r="11" spans="1:27" ht="15" x14ac:dyDescent="0.2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85"/>
      <c r="X11" s="285"/>
      <c r="Y11" s="286"/>
      <c r="Z11" s="287"/>
      <c r="AA11" s="284"/>
    </row>
    <row r="12" spans="1:27" ht="16.5" customHeight="1" x14ac:dyDescent="0.2">
      <c r="A12" s="274"/>
      <c r="B12" s="275"/>
      <c r="C12" s="275"/>
      <c r="D12" s="275"/>
      <c r="E12" s="583" t="s">
        <v>359</v>
      </c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280">
        <f>'PART-OCC-UNIR'!S114</f>
        <v>883.4353000000001</v>
      </c>
      <c r="S12" s="584">
        <f>'PART-OCC-UNIR'!T114</f>
        <v>7.3747149111244636E-2</v>
      </c>
      <c r="T12" s="584"/>
      <c r="U12" s="584"/>
      <c r="V12" s="584"/>
      <c r="W12" s="281">
        <f>'PART-OCC-UNIR'!S120</f>
        <v>0.1044178380512804</v>
      </c>
      <c r="X12" s="282">
        <f>'PART-OCC-UNIR'!S121</f>
        <v>7.6814218005248222E-2</v>
      </c>
      <c r="Y12" s="283">
        <f>X12*Y23</f>
        <v>0</v>
      </c>
      <c r="Z12" s="283">
        <f>X12*Z23</f>
        <v>0</v>
      </c>
      <c r="AA12" s="284">
        <f>X12*AA23</f>
        <v>0</v>
      </c>
    </row>
    <row r="13" spans="1:27" ht="15" x14ac:dyDescent="0.2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85"/>
      <c r="X13" s="285"/>
      <c r="Y13" s="286"/>
      <c r="Z13" s="287"/>
      <c r="AA13" s="284"/>
    </row>
    <row r="14" spans="1:27" ht="16.5" customHeight="1" x14ac:dyDescent="0.2">
      <c r="A14" s="274"/>
      <c r="B14" s="275"/>
      <c r="C14" s="275"/>
      <c r="D14" s="275"/>
      <c r="E14" s="583" t="s">
        <v>360</v>
      </c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280">
        <f>'PART-OCC-UNIR'!S132</f>
        <v>329.67</v>
      </c>
      <c r="S14" s="584">
        <f>'PART-OCC-UNIR'!T132</f>
        <v>2.7520094168190946E-2</v>
      </c>
      <c r="T14" s="584"/>
      <c r="U14" s="584"/>
      <c r="V14" s="584"/>
      <c r="W14" s="281">
        <f>'PART-OCC-UNIR'!S138</f>
        <v>9.5563641016747206E-2</v>
      </c>
      <c r="X14" s="282">
        <f>'PART-OCC-UNIR'!S139</f>
        <v>3.4324448853046571E-2</v>
      </c>
      <c r="Y14" s="283">
        <f>X14*Y23</f>
        <v>0</v>
      </c>
      <c r="Z14" s="283">
        <f>X14*Z23</f>
        <v>0</v>
      </c>
      <c r="AA14" s="284">
        <f>X14*AA23</f>
        <v>0</v>
      </c>
    </row>
    <row r="15" spans="1:27" ht="15" x14ac:dyDescent="0.2">
      <c r="A15" s="605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285"/>
      <c r="X15" s="285"/>
      <c r="Y15" s="286"/>
      <c r="Z15" s="287"/>
      <c r="AA15" s="284"/>
    </row>
    <row r="16" spans="1:27" ht="16.5" customHeight="1" x14ac:dyDescent="0.2">
      <c r="A16" s="274"/>
      <c r="B16" s="275"/>
      <c r="C16" s="275"/>
      <c r="D16" s="275"/>
      <c r="E16" s="594" t="s">
        <v>361</v>
      </c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288">
        <f>'PART-OCC-UNIR'!S146</f>
        <v>304.70000000000005</v>
      </c>
      <c r="S16" s="584">
        <f>'PART-OCC-UNIR'!T146</f>
        <v>2.5435655937900876E-2</v>
      </c>
      <c r="T16" s="584"/>
      <c r="U16" s="584"/>
      <c r="V16" s="584"/>
      <c r="W16" s="281">
        <f>'PART-OCC-UNIR'!S152</f>
        <v>0.11971536277610569</v>
      </c>
      <c r="X16" s="282">
        <f>'PART-OCC-UNIR'!S153</f>
        <v>3.4863626621721357E-2</v>
      </c>
      <c r="Y16" s="283">
        <f>X16*Y23</f>
        <v>0</v>
      </c>
      <c r="Z16" s="283">
        <f>X16*Z23</f>
        <v>0</v>
      </c>
      <c r="AA16" s="284">
        <f>X16*AA23</f>
        <v>0</v>
      </c>
    </row>
    <row r="17" spans="1:27" ht="15" x14ac:dyDescent="0.2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85"/>
      <c r="X17" s="285"/>
      <c r="Y17" s="286"/>
      <c r="Z17" s="287"/>
      <c r="AA17" s="284"/>
    </row>
    <row r="18" spans="1:27" ht="16.5" customHeight="1" x14ac:dyDescent="0.2">
      <c r="A18" s="274"/>
      <c r="B18" s="275"/>
      <c r="C18" s="275"/>
      <c r="D18" s="275"/>
      <c r="E18" s="583" t="s">
        <v>362</v>
      </c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280">
        <f>'PART-OCC-UNIR'!S195</f>
        <v>5359.482</v>
      </c>
      <c r="S18" s="584">
        <f>'PART-OCC-UNIR'!T195</f>
        <v>0.48037093617605409</v>
      </c>
      <c r="T18" s="584"/>
      <c r="U18" s="584"/>
      <c r="V18" s="584"/>
      <c r="W18" s="281">
        <f>'PART-OCC-UNIR'!S201</f>
        <v>0.17219217996123876</v>
      </c>
      <c r="X18" s="282">
        <f>'PART-OCC-UNIR'!S202</f>
        <v>0.41987673733198061</v>
      </c>
      <c r="Y18" s="283">
        <f>X18*Y23</f>
        <v>0</v>
      </c>
      <c r="Z18" s="283">
        <f>X18*Z23</f>
        <v>0</v>
      </c>
      <c r="AA18" s="284">
        <f>X18*AA23</f>
        <v>0</v>
      </c>
    </row>
    <row r="19" spans="1:27" ht="15" x14ac:dyDescent="0.2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89"/>
      <c r="X19" s="289"/>
      <c r="Y19" s="290"/>
      <c r="Z19" s="291"/>
      <c r="AA19" s="292"/>
    </row>
    <row r="20" spans="1:27" ht="15.75" x14ac:dyDescent="0.2">
      <c r="A20" s="274"/>
      <c r="B20" s="275"/>
      <c r="C20" s="275"/>
      <c r="D20" s="275"/>
      <c r="E20" s="601" t="s">
        <v>250</v>
      </c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2">
        <f>'PART-OCC-UNIR'!S221</f>
        <v>11584.246799999999</v>
      </c>
      <c r="S20" s="602"/>
      <c r="T20" s="602"/>
      <c r="U20" s="602"/>
      <c r="V20" s="602"/>
      <c r="W20" s="293"/>
      <c r="X20" s="293"/>
      <c r="Y20" s="294"/>
      <c r="Z20" s="295"/>
      <c r="AA20" s="292"/>
    </row>
    <row r="21" spans="1:27" ht="16.5" customHeight="1" x14ac:dyDescent="0.2">
      <c r="A21" s="274"/>
      <c r="B21" s="275"/>
      <c r="C21" s="275"/>
      <c r="D21" s="275"/>
      <c r="E21" s="603" t="s">
        <v>251</v>
      </c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4">
        <f>'PART-OCC-UNIR'!S222</f>
        <v>395</v>
      </c>
      <c r="S21" s="604"/>
      <c r="T21" s="604"/>
      <c r="U21" s="604"/>
      <c r="V21" s="604"/>
      <c r="W21" s="293"/>
      <c r="X21" s="293"/>
      <c r="Y21" s="294"/>
      <c r="Z21" s="295"/>
      <c r="AA21" s="292"/>
    </row>
    <row r="22" spans="1:27" ht="16.5" customHeight="1" x14ac:dyDescent="0.2">
      <c r="A22" s="274"/>
      <c r="B22" s="275"/>
      <c r="C22" s="275"/>
      <c r="D22" s="275"/>
      <c r="E22" s="586" t="s">
        <v>363</v>
      </c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99">
        <f>SUM(R20:V21)</f>
        <v>11979.246799999999</v>
      </c>
      <c r="S22" s="599"/>
      <c r="T22" s="599"/>
      <c r="U22" s="599"/>
      <c r="V22" s="599"/>
      <c r="W22" s="296"/>
      <c r="X22" s="296"/>
      <c r="Y22" s="297"/>
      <c r="Z22" s="298"/>
      <c r="AA22" s="292"/>
    </row>
    <row r="23" spans="1:27" ht="15.75" x14ac:dyDescent="0.25">
      <c r="A23" s="299"/>
      <c r="B23" s="300"/>
      <c r="C23" s="300"/>
      <c r="D23" s="301"/>
      <c r="E23" s="585" t="s">
        <v>430</v>
      </c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303">
        <v>0</v>
      </c>
      <c r="Z23" s="304">
        <v>0</v>
      </c>
      <c r="AA23" s="304">
        <v>0</v>
      </c>
    </row>
    <row r="24" spans="1:27" ht="15" x14ac:dyDescent="0.2">
      <c r="A24" s="299"/>
      <c r="B24" s="300"/>
      <c r="C24" s="300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5"/>
      <c r="Z24" s="306"/>
    </row>
    <row r="25" spans="1:27" ht="12.75" customHeight="1" x14ac:dyDescent="0.2">
      <c r="A25" s="299"/>
      <c r="B25" s="300"/>
      <c r="C25" s="300"/>
      <c r="D25" s="587" t="s">
        <v>432</v>
      </c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</row>
    <row r="26" spans="1:27" ht="18" customHeight="1" x14ac:dyDescent="0.2">
      <c r="A26" s="299"/>
      <c r="B26" s="300"/>
      <c r="C26" s="300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</row>
    <row r="27" spans="1:27" ht="16.5" customHeight="1" x14ac:dyDescent="0.25">
      <c r="A27" s="299"/>
      <c r="B27" s="300"/>
      <c r="C27" s="300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600" t="s">
        <v>349</v>
      </c>
      <c r="T27" s="600"/>
      <c r="U27" s="600"/>
      <c r="V27" s="600"/>
      <c r="W27" s="276" t="s">
        <v>350</v>
      </c>
      <c r="X27" s="277" t="s">
        <v>351</v>
      </c>
      <c r="Y27" s="308" t="s">
        <v>352</v>
      </c>
      <c r="Z27" s="302" t="s">
        <v>353</v>
      </c>
      <c r="AA27" s="309" t="s">
        <v>366</v>
      </c>
    </row>
    <row r="28" spans="1:27" ht="15.6" customHeight="1" x14ac:dyDescent="0.2">
      <c r="A28" s="299"/>
      <c r="B28" s="300"/>
      <c r="C28" s="300"/>
      <c r="D28" s="301"/>
      <c r="E28" s="583" t="s">
        <v>169</v>
      </c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280">
        <f>'PART-OCC-NÚCLEOS-PVH'!S12</f>
        <v>1014.921</v>
      </c>
      <c r="S28" s="584">
        <f>'PART-OCC-NÚCLEOS-PVH'!T13</f>
        <v>0.19330623933277868</v>
      </c>
      <c r="T28" s="584"/>
      <c r="U28" s="584"/>
      <c r="V28" s="584"/>
      <c r="W28" s="281">
        <f>'PART-OCC-NÚCLEOS-PVH'!S19</f>
        <v>0.19053898768067867</v>
      </c>
      <c r="X28" s="450">
        <f>'PART-OCC-NÚCLEOS-PVH'!S20</f>
        <v>0.19302951416756869</v>
      </c>
      <c r="Y28" s="283">
        <f>X28*Y37</f>
        <v>0</v>
      </c>
      <c r="Z28" s="310">
        <f>X28*Z37</f>
        <v>0</v>
      </c>
      <c r="AA28" s="311">
        <f>X28*AA37</f>
        <v>0</v>
      </c>
    </row>
    <row r="29" spans="1:27" ht="13.5" customHeight="1" x14ac:dyDescent="0.2">
      <c r="A29" s="299"/>
      <c r="B29" s="300"/>
      <c r="C29" s="300"/>
      <c r="D29" s="301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85"/>
      <c r="X29" s="451"/>
      <c r="Y29" s="286"/>
      <c r="Z29" s="312"/>
      <c r="AA29" s="313"/>
    </row>
    <row r="30" spans="1:27" ht="16.5" customHeight="1" x14ac:dyDescent="0.2">
      <c r="A30" s="299"/>
      <c r="B30" s="300"/>
      <c r="C30" s="300"/>
      <c r="D30" s="301"/>
      <c r="E30" s="583" t="s">
        <v>179</v>
      </c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280">
        <f>'PART-OCC-NÚCLEOS-PVH'!S25</f>
        <v>634.38499999999999</v>
      </c>
      <c r="S30" s="584">
        <f>'PART-OCC-NÚCLEOS-PVH'!T26</f>
        <v>0.12011759836375664</v>
      </c>
      <c r="T30" s="584"/>
      <c r="U30" s="584"/>
      <c r="V30" s="584"/>
      <c r="W30" s="281">
        <f>'PART-OCC-NÚCLEOS-PVH'!S32</f>
        <v>0.21765334499215239</v>
      </c>
      <c r="X30" s="450">
        <f>'PART-OCC-NÚCLEOS-PVH'!S33</f>
        <v>0.12987117302659623</v>
      </c>
      <c r="Y30" s="283">
        <f>X30*Y37</f>
        <v>0</v>
      </c>
      <c r="Z30" s="310">
        <f>X30*Z37</f>
        <v>0</v>
      </c>
      <c r="AA30" s="311">
        <f>X30*AA37</f>
        <v>0</v>
      </c>
    </row>
    <row r="31" spans="1:27" ht="15" x14ac:dyDescent="0.2">
      <c r="A31" s="299"/>
      <c r="B31" s="300"/>
      <c r="C31" s="300"/>
      <c r="D31" s="301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85"/>
      <c r="X31" s="451"/>
      <c r="Y31" s="286"/>
      <c r="Z31" s="312"/>
      <c r="AA31" s="313"/>
    </row>
    <row r="32" spans="1:27" ht="16.5" customHeight="1" x14ac:dyDescent="0.2">
      <c r="A32" s="299"/>
      <c r="B32" s="300"/>
      <c r="C32" s="300"/>
      <c r="D32" s="301"/>
      <c r="E32" s="583" t="s">
        <v>186</v>
      </c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280">
        <f>'PART-OCC-NÚCLEOS-PVH'!S40</f>
        <v>672.54499999999996</v>
      </c>
      <c r="S32" s="584">
        <f>'PART-OCC-NÚCLEOS-PVH'!T41</f>
        <v>0.15612343473260515</v>
      </c>
      <c r="T32" s="584"/>
      <c r="U32" s="584"/>
      <c r="V32" s="584"/>
      <c r="W32" s="281">
        <f>'PART-OCC-NÚCLEOS-PVH'!S47</f>
        <v>0.25353096643949691</v>
      </c>
      <c r="X32" s="450">
        <f>'PART-OCC-NÚCLEOS-PVH'!S48</f>
        <v>0.16586418790329432</v>
      </c>
      <c r="Y32" s="283">
        <f>X32*Y37</f>
        <v>0</v>
      </c>
      <c r="Z32" s="310">
        <f>X32*Z37</f>
        <v>0</v>
      </c>
      <c r="AA32" s="311">
        <f>X32*AA37</f>
        <v>0</v>
      </c>
    </row>
    <row r="33" spans="1:27" ht="15" x14ac:dyDescent="0.2">
      <c r="A33" s="299"/>
      <c r="B33" s="300"/>
      <c r="C33" s="300"/>
      <c r="D33" s="301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85"/>
      <c r="X33" s="451"/>
      <c r="Y33" s="286"/>
      <c r="Z33" s="312"/>
      <c r="AA33" s="313"/>
    </row>
    <row r="34" spans="1:27" ht="16.5" customHeight="1" x14ac:dyDescent="0.2">
      <c r="A34" s="299"/>
      <c r="B34" s="300"/>
      <c r="C34" s="300"/>
      <c r="D34" s="301"/>
      <c r="E34" s="583" t="s">
        <v>197</v>
      </c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280">
        <f>'PART-OCC-NÚCLEOS-PVH'!S61</f>
        <v>887.74</v>
      </c>
      <c r="S34" s="584">
        <f>'PART-OCC-NÚCLEOS-PVH'!T62</f>
        <v>0.19440803761754061</v>
      </c>
      <c r="T34" s="584"/>
      <c r="U34" s="584"/>
      <c r="V34" s="584"/>
      <c r="W34" s="281">
        <f>'PART-OCC-NÚCLEOS-PVH'!S68</f>
        <v>0.1023505225359245</v>
      </c>
      <c r="X34" s="450">
        <f>'PART-OCC-NÚCLEOS-PVH'!S69</f>
        <v>0.185202286109379</v>
      </c>
      <c r="Y34" s="283">
        <f>X34*Y37</f>
        <v>0</v>
      </c>
      <c r="Z34" s="310">
        <f>X34*Z37</f>
        <v>0</v>
      </c>
      <c r="AA34" s="311">
        <f>X34*AA37</f>
        <v>0</v>
      </c>
    </row>
    <row r="35" spans="1:27" ht="15" x14ac:dyDescent="0.2">
      <c r="A35" s="299"/>
      <c r="B35" s="300"/>
      <c r="C35" s="300"/>
      <c r="D35" s="301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85"/>
      <c r="X35" s="451"/>
      <c r="Y35" s="286"/>
      <c r="Z35" s="312"/>
      <c r="AA35" s="313"/>
    </row>
    <row r="36" spans="1:27" ht="16.5" customHeight="1" x14ac:dyDescent="0.2">
      <c r="A36" s="299"/>
      <c r="B36" s="300"/>
      <c r="C36" s="300"/>
      <c r="D36" s="301"/>
      <c r="E36" s="597" t="s">
        <v>215</v>
      </c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314">
        <f>'PART-OCC-NÚCLEOS-PVH'!S75</f>
        <v>1676.7749999999999</v>
      </c>
      <c r="S36" s="598">
        <f>'PART-OCC-NÚCLEOS-PVH'!T76</f>
        <v>0.32089709366856983</v>
      </c>
      <c r="T36" s="598"/>
      <c r="U36" s="598"/>
      <c r="V36" s="598"/>
      <c r="W36" s="315">
        <f>'PART-OCC-NÚCLEOS-PVH'!S82</f>
        <v>0.23592617835174753</v>
      </c>
      <c r="X36" s="452">
        <f>'PART-OCC-NÚCLEOS-PVH'!S83</f>
        <v>0.31240000213688762</v>
      </c>
      <c r="Y36" s="316">
        <f>X36*Y37</f>
        <v>0</v>
      </c>
      <c r="Z36" s="317">
        <f>X36*Z37</f>
        <v>0</v>
      </c>
      <c r="AA36" s="311">
        <f>X36*AA37</f>
        <v>0</v>
      </c>
    </row>
    <row r="37" spans="1:27" ht="15.75" x14ac:dyDescent="0.25">
      <c r="A37" s="299"/>
      <c r="B37" s="300"/>
      <c r="C37" s="300"/>
      <c r="D37" s="301"/>
      <c r="E37" s="585" t="s">
        <v>429</v>
      </c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318">
        <f>Y18</f>
        <v>0</v>
      </c>
      <c r="Z37" s="319">
        <f>Z18</f>
        <v>0</v>
      </c>
      <c r="AA37" s="320">
        <f>AA18</f>
        <v>0</v>
      </c>
    </row>
    <row r="38" spans="1:27" ht="15" x14ac:dyDescent="0.2">
      <c r="A38" s="321"/>
      <c r="B38" s="322"/>
      <c r="C38" s="322"/>
      <c r="D38" s="300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23"/>
      <c r="Z38" s="300"/>
    </row>
    <row r="61" spans="4:24" ht="12.75" customHeight="1" x14ac:dyDescent="0.2">
      <c r="D61" s="324"/>
      <c r="E61" s="595" t="s">
        <v>427</v>
      </c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</row>
    <row r="62" spans="4:24" ht="13.5" customHeight="1" x14ac:dyDescent="0.2"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</row>
    <row r="63" spans="4:24" ht="32.25" customHeight="1" x14ac:dyDescent="0.25"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596" t="s">
        <v>349</v>
      </c>
      <c r="S63" s="596"/>
      <c r="T63" s="596"/>
      <c r="U63" s="596"/>
      <c r="V63" s="308" t="s">
        <v>352</v>
      </c>
      <c r="W63" s="302" t="s">
        <v>353</v>
      </c>
      <c r="X63" s="325" t="s">
        <v>368</v>
      </c>
    </row>
    <row r="64" spans="4:24" ht="16.5" customHeight="1" x14ac:dyDescent="0.2">
      <c r="D64" s="275"/>
      <c r="E64" s="592" t="s">
        <v>355</v>
      </c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3">
        <f>S4</f>
        <v>0.10160190121469076</v>
      </c>
      <c r="S64" s="593"/>
      <c r="T64" s="593"/>
      <c r="U64" s="593"/>
      <c r="V64" s="283">
        <f>R64*V81</f>
        <v>0</v>
      </c>
      <c r="W64" s="310">
        <f>R64*W81</f>
        <v>0</v>
      </c>
      <c r="X64" s="284">
        <f>R64*X81</f>
        <v>0</v>
      </c>
    </row>
    <row r="65" spans="4:24" ht="15" x14ac:dyDescent="0.2"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86"/>
      <c r="W65" s="312"/>
      <c r="X65" s="284"/>
    </row>
    <row r="66" spans="4:24" ht="16.5" customHeight="1" x14ac:dyDescent="0.2">
      <c r="D66" s="275"/>
      <c r="E66" s="592" t="s">
        <v>356</v>
      </c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3">
        <f>S6</f>
        <v>6.0777076568787287E-2</v>
      </c>
      <c r="S66" s="593"/>
      <c r="T66" s="593"/>
      <c r="U66" s="593"/>
      <c r="V66" s="283">
        <f>R66*V81</f>
        <v>0</v>
      </c>
      <c r="W66" s="310">
        <f>R66*W81</f>
        <v>0</v>
      </c>
      <c r="X66" s="284">
        <f>R66*X81</f>
        <v>0</v>
      </c>
    </row>
    <row r="67" spans="4:24" ht="15" x14ac:dyDescent="0.2"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86"/>
      <c r="W67" s="312"/>
      <c r="X67" s="284"/>
    </row>
    <row r="68" spans="4:24" ht="16.5" customHeight="1" x14ac:dyDescent="0.2">
      <c r="D68" s="275"/>
      <c r="E68" s="592" t="s">
        <v>357</v>
      </c>
      <c r="F68" s="592"/>
      <c r="G68" s="592"/>
      <c r="H68" s="592"/>
      <c r="I68" s="592"/>
      <c r="J68" s="592"/>
      <c r="K68" s="592"/>
      <c r="L68" s="592"/>
      <c r="M68" s="592"/>
      <c r="N68" s="592"/>
      <c r="O68" s="592"/>
      <c r="P68" s="592"/>
      <c r="Q68" s="592"/>
      <c r="R68" s="593">
        <f>S8</f>
        <v>0.10626746165710521</v>
      </c>
      <c r="S68" s="593"/>
      <c r="T68" s="593"/>
      <c r="U68" s="593"/>
      <c r="V68" s="283">
        <f>R68*V81</f>
        <v>0</v>
      </c>
      <c r="W68" s="310">
        <f>R68*W81</f>
        <v>0</v>
      </c>
      <c r="X68" s="284">
        <f>R68*X81</f>
        <v>0</v>
      </c>
    </row>
    <row r="69" spans="4:24" ht="15" x14ac:dyDescent="0.2"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86"/>
      <c r="W69" s="312"/>
      <c r="X69" s="284"/>
    </row>
    <row r="70" spans="4:24" ht="16.5" customHeight="1" x14ac:dyDescent="0.2">
      <c r="D70" s="275"/>
      <c r="E70" s="592" t="s">
        <v>358</v>
      </c>
      <c r="F70" s="592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3">
        <f>S10</f>
        <v>0.162595990592664</v>
      </c>
      <c r="S70" s="593"/>
      <c r="T70" s="593"/>
      <c r="U70" s="593"/>
      <c r="V70" s="283">
        <f>R70*V81</f>
        <v>0</v>
      </c>
      <c r="W70" s="310">
        <f>R70*W81</f>
        <v>0</v>
      </c>
      <c r="X70" s="284">
        <f>R70*X81</f>
        <v>0</v>
      </c>
    </row>
    <row r="71" spans="4:24" ht="15" x14ac:dyDescent="0.2"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86"/>
      <c r="W71" s="312"/>
      <c r="X71" s="284"/>
    </row>
    <row r="72" spans="4:24" ht="16.5" customHeight="1" x14ac:dyDescent="0.2">
      <c r="D72" s="275"/>
      <c r="E72" s="592" t="s">
        <v>359</v>
      </c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3">
        <f>S12</f>
        <v>7.3747149111244636E-2</v>
      </c>
      <c r="S72" s="593"/>
      <c r="T72" s="593"/>
      <c r="U72" s="593"/>
      <c r="V72" s="283">
        <f>R72*V81</f>
        <v>0</v>
      </c>
      <c r="W72" s="310">
        <f>R72*W81</f>
        <v>0</v>
      </c>
      <c r="X72" s="284">
        <f>R72*X81</f>
        <v>0</v>
      </c>
    </row>
    <row r="73" spans="4:24" ht="15" x14ac:dyDescent="0.2"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86"/>
      <c r="W73" s="312"/>
      <c r="X73" s="284"/>
    </row>
    <row r="74" spans="4:24" ht="16.5" customHeight="1" x14ac:dyDescent="0.2">
      <c r="D74" s="275"/>
      <c r="E74" s="592" t="s">
        <v>360</v>
      </c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3">
        <f>S14</f>
        <v>2.7520094168190946E-2</v>
      </c>
      <c r="S74" s="593"/>
      <c r="T74" s="593"/>
      <c r="U74" s="593"/>
      <c r="V74" s="283">
        <f>R74*V81</f>
        <v>0</v>
      </c>
      <c r="W74" s="310">
        <f>R74*W81</f>
        <v>0</v>
      </c>
      <c r="X74" s="284">
        <f>R74*X81</f>
        <v>0</v>
      </c>
    </row>
    <row r="75" spans="4:24" ht="15" x14ac:dyDescent="0.2"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7"/>
      <c r="W75" s="286"/>
      <c r="X75" s="284"/>
    </row>
    <row r="76" spans="4:24" ht="16.5" customHeight="1" x14ac:dyDescent="0.2">
      <c r="D76" s="275"/>
      <c r="E76" s="594" t="s">
        <v>361</v>
      </c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3">
        <f>S16</f>
        <v>2.5435655937900876E-2</v>
      </c>
      <c r="S76" s="593"/>
      <c r="T76" s="593"/>
      <c r="U76" s="593"/>
      <c r="V76" s="283">
        <f>R76*V81</f>
        <v>0</v>
      </c>
      <c r="W76" s="310">
        <f>R76*W81</f>
        <v>0</v>
      </c>
      <c r="X76" s="284">
        <f>R76*X81</f>
        <v>0</v>
      </c>
    </row>
    <row r="77" spans="4:24" ht="15" x14ac:dyDescent="0.2"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86"/>
      <c r="W77" s="312"/>
      <c r="X77" s="284"/>
    </row>
    <row r="78" spans="4:24" ht="16.5" customHeight="1" x14ac:dyDescent="0.2">
      <c r="D78" s="275"/>
      <c r="E78" s="592" t="s">
        <v>362</v>
      </c>
      <c r="F78" s="592"/>
      <c r="G78" s="592"/>
      <c r="H78" s="592"/>
      <c r="I78" s="592"/>
      <c r="J78" s="592"/>
      <c r="K78" s="592"/>
      <c r="L78" s="592"/>
      <c r="M78" s="592"/>
      <c r="N78" s="592"/>
      <c r="O78" s="592"/>
      <c r="P78" s="592"/>
      <c r="Q78" s="592"/>
      <c r="R78" s="593">
        <f>S18</f>
        <v>0.48037093617605409</v>
      </c>
      <c r="S78" s="593"/>
      <c r="T78" s="593"/>
      <c r="U78" s="593"/>
      <c r="V78" s="283">
        <f>R78*V81</f>
        <v>0</v>
      </c>
      <c r="W78" s="310">
        <f>R78*W81</f>
        <v>0</v>
      </c>
      <c r="X78" s="284">
        <f>R78*X81</f>
        <v>0</v>
      </c>
    </row>
    <row r="79" spans="4:24" ht="15.75" thickBot="1" x14ac:dyDescent="0.25"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92"/>
      <c r="W79" s="292"/>
      <c r="X79" s="328"/>
    </row>
    <row r="80" spans="4:24" ht="16.5" customHeight="1" thickBot="1" x14ac:dyDescent="0.25">
      <c r="D80" s="275"/>
      <c r="E80" s="586" t="s">
        <v>363</v>
      </c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9">
        <f>R22</f>
        <v>11979.246799999999</v>
      </c>
      <c r="S80" s="590"/>
      <c r="T80" s="590"/>
      <c r="U80" s="591"/>
      <c r="V80" s="292"/>
      <c r="W80" s="292"/>
      <c r="X80" s="292"/>
    </row>
    <row r="81" spans="4:26" ht="16.5" thickBot="1" x14ac:dyDescent="0.3">
      <c r="D81" s="301"/>
      <c r="E81" s="585" t="s">
        <v>430</v>
      </c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303">
        <v>0</v>
      </c>
      <c r="W81" s="304">
        <v>0</v>
      </c>
      <c r="X81" s="304">
        <v>0</v>
      </c>
    </row>
    <row r="82" spans="4:26" ht="15" x14ac:dyDescent="0.2"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5"/>
      <c r="Z82" s="300"/>
    </row>
    <row r="83" spans="4:26" ht="12.75" customHeight="1" x14ac:dyDescent="0.2">
      <c r="E83" s="587" t="s">
        <v>428</v>
      </c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</row>
    <row r="84" spans="4:26" ht="13.5" customHeight="1" x14ac:dyDescent="0.2"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</row>
    <row r="85" spans="4:26" ht="32.25" customHeight="1" x14ac:dyDescent="0.25"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588" t="s">
        <v>349</v>
      </c>
      <c r="T85" s="588"/>
      <c r="U85" s="588"/>
      <c r="V85" s="308" t="s">
        <v>352</v>
      </c>
      <c r="W85" s="302" t="s">
        <v>353</v>
      </c>
      <c r="X85" s="329" t="s">
        <v>368</v>
      </c>
    </row>
    <row r="86" spans="4:26" ht="16.5" customHeight="1" x14ac:dyDescent="0.2">
      <c r="D86" s="301"/>
      <c r="E86" s="583" t="s">
        <v>169</v>
      </c>
      <c r="F86" s="583"/>
      <c r="G86" s="583"/>
      <c r="H86" s="583"/>
      <c r="I86" s="583"/>
      <c r="J86" s="583"/>
      <c r="K86" s="583"/>
      <c r="L86" s="583"/>
      <c r="M86" s="583"/>
      <c r="N86" s="583"/>
      <c r="O86" s="583"/>
      <c r="P86" s="583"/>
      <c r="Q86" s="583"/>
      <c r="R86" s="280"/>
      <c r="S86" s="584">
        <f>S28</f>
        <v>0.19330623933277868</v>
      </c>
      <c r="T86" s="584"/>
      <c r="U86" s="584"/>
      <c r="V86" s="283">
        <f>S86*V95</f>
        <v>0</v>
      </c>
      <c r="W86" s="310">
        <f>S86*W95</f>
        <v>0</v>
      </c>
      <c r="X86" s="310">
        <f>S86*X95</f>
        <v>0</v>
      </c>
    </row>
    <row r="87" spans="4:26" ht="15" x14ac:dyDescent="0.2">
      <c r="D87" s="301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86"/>
      <c r="W87" s="312"/>
      <c r="X87" s="330"/>
    </row>
    <row r="88" spans="4:26" ht="16.5" customHeight="1" x14ac:dyDescent="0.2">
      <c r="D88" s="301"/>
      <c r="E88" s="583" t="s">
        <v>179</v>
      </c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280"/>
      <c r="S88" s="584">
        <f>S30</f>
        <v>0.12011759836375664</v>
      </c>
      <c r="T88" s="584"/>
      <c r="U88" s="584"/>
      <c r="V88" s="283">
        <f>S88*V95</f>
        <v>0</v>
      </c>
      <c r="W88" s="310">
        <f>S88*W95</f>
        <v>0</v>
      </c>
      <c r="X88" s="310">
        <f>S88*X95</f>
        <v>0</v>
      </c>
    </row>
    <row r="89" spans="4:26" ht="15" x14ac:dyDescent="0.2">
      <c r="D89" s="301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86"/>
      <c r="W89" s="312"/>
      <c r="X89" s="330"/>
    </row>
    <row r="90" spans="4:26" ht="16.5" customHeight="1" x14ac:dyDescent="0.2">
      <c r="D90" s="301"/>
      <c r="E90" s="583" t="s">
        <v>186</v>
      </c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3"/>
      <c r="Q90" s="583"/>
      <c r="R90" s="280"/>
      <c r="S90" s="584">
        <f>S32</f>
        <v>0.15612343473260515</v>
      </c>
      <c r="T90" s="584"/>
      <c r="U90" s="584"/>
      <c r="V90" s="283">
        <f>S90*V95</f>
        <v>0</v>
      </c>
      <c r="W90" s="310">
        <f>S90*W95</f>
        <v>0</v>
      </c>
      <c r="X90" s="310">
        <f>S90*X95</f>
        <v>0</v>
      </c>
    </row>
    <row r="91" spans="4:26" ht="15" x14ac:dyDescent="0.2">
      <c r="D91" s="301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86"/>
      <c r="W91" s="312"/>
      <c r="X91" s="330"/>
    </row>
    <row r="92" spans="4:26" ht="16.5" customHeight="1" x14ac:dyDescent="0.2">
      <c r="D92" s="301"/>
      <c r="E92" s="583" t="s">
        <v>197</v>
      </c>
      <c r="F92" s="583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280"/>
      <c r="S92" s="584">
        <f>S34</f>
        <v>0.19440803761754061</v>
      </c>
      <c r="T92" s="584"/>
      <c r="U92" s="584"/>
      <c r="V92" s="283">
        <f>S92*V95</f>
        <v>0</v>
      </c>
      <c r="W92" s="310">
        <f>S92*W95</f>
        <v>0</v>
      </c>
      <c r="X92" s="310">
        <f>S92*X95</f>
        <v>0</v>
      </c>
    </row>
    <row r="93" spans="4:26" ht="15" x14ac:dyDescent="0.2">
      <c r="D93" s="301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86"/>
      <c r="W93" s="312"/>
      <c r="X93" s="330"/>
    </row>
    <row r="94" spans="4:26" ht="16.5" customHeight="1" x14ac:dyDescent="0.2">
      <c r="D94" s="301"/>
      <c r="E94" s="583" t="s">
        <v>215</v>
      </c>
      <c r="F94" s="583"/>
      <c r="G94" s="583"/>
      <c r="H94" s="583"/>
      <c r="I94" s="583"/>
      <c r="J94" s="583"/>
      <c r="K94" s="583"/>
      <c r="L94" s="583"/>
      <c r="M94" s="583"/>
      <c r="N94" s="583"/>
      <c r="O94" s="583"/>
      <c r="P94" s="583"/>
      <c r="Q94" s="583"/>
      <c r="R94" s="280"/>
      <c r="S94" s="584">
        <f>S36</f>
        <v>0.32089709366856983</v>
      </c>
      <c r="T94" s="584"/>
      <c r="U94" s="584"/>
      <c r="V94" s="283">
        <f>S94*V95</f>
        <v>0</v>
      </c>
      <c r="W94" s="310">
        <f>S94*W95</f>
        <v>0</v>
      </c>
      <c r="X94" s="310">
        <f>S94*X95</f>
        <v>0</v>
      </c>
    </row>
    <row r="95" spans="4:26" ht="15.75" x14ac:dyDescent="0.25">
      <c r="D95" s="301"/>
      <c r="E95" s="585" t="s">
        <v>429</v>
      </c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331">
        <f>V78</f>
        <v>0</v>
      </c>
      <c r="W95" s="320">
        <f>W78</f>
        <v>0</v>
      </c>
      <c r="X95" s="320">
        <f>X78</f>
        <v>0</v>
      </c>
    </row>
    <row r="96" spans="4:26" ht="15" x14ac:dyDescent="0.2">
      <c r="D96" s="300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23"/>
      <c r="Z96" s="300"/>
    </row>
  </sheetData>
  <mergeCells count="73">
    <mergeCell ref="A1:AA2"/>
    <mergeCell ref="S3:V3"/>
    <mergeCell ref="E4:Q4"/>
    <mergeCell ref="S4:V4"/>
    <mergeCell ref="E6:Q6"/>
    <mergeCell ref="S6:V6"/>
    <mergeCell ref="E8:Q8"/>
    <mergeCell ref="S8:V8"/>
    <mergeCell ref="E10:Q10"/>
    <mergeCell ref="S10:V10"/>
    <mergeCell ref="E12:Q12"/>
    <mergeCell ref="S12:V12"/>
    <mergeCell ref="E14:Q14"/>
    <mergeCell ref="S14:V14"/>
    <mergeCell ref="A15:V15"/>
    <mergeCell ref="E16:Q16"/>
    <mergeCell ref="S16:V16"/>
    <mergeCell ref="E18:Q18"/>
    <mergeCell ref="S18:V18"/>
    <mergeCell ref="E20:Q20"/>
    <mergeCell ref="R20:V20"/>
    <mergeCell ref="E21:Q21"/>
    <mergeCell ref="R21:V21"/>
    <mergeCell ref="E22:Q22"/>
    <mergeCell ref="R22:V22"/>
    <mergeCell ref="E23:X23"/>
    <mergeCell ref="D25:AA26"/>
    <mergeCell ref="S27:V27"/>
    <mergeCell ref="E28:Q28"/>
    <mergeCell ref="S28:V28"/>
    <mergeCell ref="E30:Q30"/>
    <mergeCell ref="S30:V30"/>
    <mergeCell ref="E32:Q32"/>
    <mergeCell ref="S32:V32"/>
    <mergeCell ref="E34:Q34"/>
    <mergeCell ref="S34:V34"/>
    <mergeCell ref="E36:Q36"/>
    <mergeCell ref="S36:V36"/>
    <mergeCell ref="E37:X37"/>
    <mergeCell ref="E61:X62"/>
    <mergeCell ref="R63:U63"/>
    <mergeCell ref="E64:Q64"/>
    <mergeCell ref="R64:U64"/>
    <mergeCell ref="E66:Q66"/>
    <mergeCell ref="R66:U66"/>
    <mergeCell ref="E68:Q68"/>
    <mergeCell ref="R68:U68"/>
    <mergeCell ref="E70:Q70"/>
    <mergeCell ref="R70:U70"/>
    <mergeCell ref="E72:Q72"/>
    <mergeCell ref="R72:U72"/>
    <mergeCell ref="E74:Q74"/>
    <mergeCell ref="R74:U74"/>
    <mergeCell ref="E76:Q76"/>
    <mergeCell ref="R76:U76"/>
    <mergeCell ref="E78:Q78"/>
    <mergeCell ref="R78:U78"/>
    <mergeCell ref="E80:Q80"/>
    <mergeCell ref="E81:U81"/>
    <mergeCell ref="E83:X84"/>
    <mergeCell ref="S85:U85"/>
    <mergeCell ref="R80:U80"/>
    <mergeCell ref="E86:Q86"/>
    <mergeCell ref="S86:U86"/>
    <mergeCell ref="E88:Q88"/>
    <mergeCell ref="S88:U88"/>
    <mergeCell ref="E90:Q90"/>
    <mergeCell ref="S90:U90"/>
    <mergeCell ref="E92:Q92"/>
    <mergeCell ref="S92:U92"/>
    <mergeCell ref="E94:Q94"/>
    <mergeCell ref="S94:U94"/>
    <mergeCell ref="E95:U95"/>
  </mergeCells>
  <pageMargins left="0.78749999999999998" right="0.78749999999999998" top="0.98402777777777795" bottom="0.98402777777777795" header="0.51180555555555496" footer="0.51180555555555496"/>
  <pageSetup paperSize="9" scale="46" firstPageNumber="0" orientation="portrait" verticalDpi="4294967294" r:id="rId1"/>
  <rowBreaks count="1" manualBreakCount="1">
    <brk id="55" max="16383" man="1"/>
  </rowBreaks>
  <colBreaks count="1" manualBreakCount="1">
    <brk id="24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120" zoomScaleNormal="110" zoomScalePageLayoutView="120" workbookViewId="0">
      <selection activeCell="Q12" sqref="Q12"/>
    </sheetView>
  </sheetViews>
  <sheetFormatPr defaultRowHeight="12.75" x14ac:dyDescent="0.2"/>
  <cols>
    <col min="1" max="1025" width="8.5703125"/>
  </cols>
  <sheetData/>
  <pageMargins left="0.78749999999999998" right="0.78749999999999998" top="0.98402777777777795" bottom="0.98402777777777795" header="0.51180555555555496" footer="0.51180555555555496"/>
  <pageSetup paperSize="9" scale="59" firstPageNumber="0" orientation="portrait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9" zoomScale="130" zoomScaleNormal="110" zoomScaleSheetLayoutView="130" zoomScalePageLayoutView="120" workbookViewId="0"/>
  </sheetViews>
  <sheetFormatPr defaultRowHeight="12.75" x14ac:dyDescent="0.2"/>
  <cols>
    <col min="1" max="1025" width="8.5703125"/>
  </cols>
  <sheetData/>
  <pageMargins left="0.78749999999999998" right="0.78749999999999998" top="0.98402777777777795" bottom="0.98402777777777795" header="0.51180555555555496" footer="0.51180555555555496"/>
  <pageSetup paperSize="9" scale="63" firstPageNumber="0" orientation="portrait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120" zoomScaleNormal="84" zoomScalePageLayoutView="120" workbookViewId="0">
      <selection activeCell="O10" sqref="O10"/>
    </sheetView>
  </sheetViews>
  <sheetFormatPr defaultRowHeight="12.75" x14ac:dyDescent="0.2"/>
  <cols>
    <col min="1" max="1025" width="8.5703125"/>
  </cols>
  <sheetData/>
  <pageMargins left="0.78749999999999998" right="0.78749999999999998" top="0.98402777777777795" bottom="0.98402777777777795" header="0.51180555555555496" footer="0.51180555555555496"/>
  <pageSetup paperSize="9" scale="67" firstPageNumber="0" orientation="portrait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4" zoomScale="120" zoomScaleNormal="88" zoomScalePageLayoutView="120" workbookViewId="0">
      <selection activeCell="P36" sqref="P36"/>
    </sheetView>
  </sheetViews>
  <sheetFormatPr defaultRowHeight="12.75" x14ac:dyDescent="0.2"/>
  <cols>
    <col min="1" max="1025" width="8.5703125"/>
  </cols>
  <sheetData/>
  <pageMargins left="0.78749999999999998" right="0.78749999999999998" top="0.98402777777777795" bottom="0.98402777777777795" header="0.51180555555555496" footer="0.51180555555555496"/>
  <pageSetup paperSize="9" scale="72" firstPageNumber="0" orientation="portrait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85" zoomScaleNormal="85" zoomScaleSheetLayoutView="85" zoomScalePageLayoutView="120" workbookViewId="0">
      <selection activeCell="O28" sqref="O28:R28"/>
    </sheetView>
  </sheetViews>
  <sheetFormatPr defaultRowHeight="12.75" x14ac:dyDescent="0.2"/>
  <cols>
    <col min="1" max="1" width="10.140625"/>
    <col min="2" max="2" width="8.7109375"/>
    <col min="3" max="3" width="11"/>
    <col min="4" max="4" width="11.7109375"/>
    <col min="5" max="14" width="8.7109375"/>
    <col min="15" max="15" width="16.42578125"/>
    <col min="16" max="16" width="0" hidden="1"/>
    <col min="17" max="17" width="0.28515625"/>
    <col min="18" max="18" width="1.5703125"/>
    <col min="19" max="21" width="8.7109375"/>
    <col min="22" max="22" width="12.85546875"/>
    <col min="23" max="23" width="16.7109375"/>
    <col min="24" max="24" width="14.7109375"/>
    <col min="25" max="25" width="15.7109375"/>
    <col min="26" max="1025" width="8.7109375"/>
  </cols>
  <sheetData>
    <row r="1" spans="1:25" ht="12.75" customHeight="1" x14ac:dyDescent="0.2">
      <c r="A1" s="624" t="s">
        <v>348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</row>
    <row r="2" spans="1:25" ht="13.5" customHeight="1" x14ac:dyDescent="0.2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</row>
    <row r="3" spans="1:25" ht="13.5" customHeight="1" x14ac:dyDescent="0.2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332"/>
      <c r="O3" s="626" t="s">
        <v>369</v>
      </c>
      <c r="P3" s="626"/>
      <c r="Q3" s="626"/>
      <c r="R3" s="626"/>
      <c r="S3" s="333" t="s">
        <v>350</v>
      </c>
      <c r="T3" s="334" t="s">
        <v>351</v>
      </c>
      <c r="U3" s="334" t="s">
        <v>370</v>
      </c>
      <c r="V3" s="334" t="s">
        <v>371</v>
      </c>
      <c r="W3" s="212" t="s">
        <v>372</v>
      </c>
    </row>
    <row r="4" spans="1:25" ht="13.5" customHeight="1" x14ac:dyDescent="0.2">
      <c r="A4" s="466" t="s">
        <v>355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335">
        <f>'QUADRO SÍNTESE'!R4</f>
        <v>1217.1142500000003</v>
      </c>
      <c r="O4" s="616">
        <f>'QUADRO SÍNTESE'!S4</f>
        <v>0.10160190121469076</v>
      </c>
      <c r="P4" s="616"/>
      <c r="Q4" s="616"/>
      <c r="R4" s="616"/>
      <c r="S4" s="336">
        <f>'PART-OCC-UNIR'!S26</f>
        <v>0.11723470353566658</v>
      </c>
      <c r="T4" s="337">
        <f>'PART-OCC-UNIR'!S27</f>
        <v>0.10316518144678835</v>
      </c>
      <c r="U4" s="338">
        <f>C48</f>
        <v>0.16119200812732815</v>
      </c>
      <c r="V4" s="337">
        <f>T4*U4</f>
        <v>1.6629402766227992E-2</v>
      </c>
      <c r="W4" s="339">
        <f>U4*X23</f>
        <v>303985.49068585737</v>
      </c>
      <c r="X4" s="60">
        <f>T4*W23</f>
        <v>1995332.2621358631</v>
      </c>
      <c r="Y4" s="60">
        <f>SUM(W4:X4)</f>
        <v>2299317.7528217202</v>
      </c>
    </row>
    <row r="5" spans="1:25" x14ac:dyDescent="0.2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"/>
      <c r="O5" s="3"/>
      <c r="P5" s="3"/>
      <c r="Q5" s="3"/>
      <c r="R5" s="3"/>
      <c r="S5" s="13"/>
      <c r="T5" s="13"/>
      <c r="U5" s="341"/>
      <c r="V5" s="341"/>
      <c r="W5" s="342"/>
      <c r="Y5" s="60"/>
    </row>
    <row r="6" spans="1:25" ht="13.5" customHeight="1" x14ac:dyDescent="0.2">
      <c r="A6" s="466" t="s">
        <v>356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335">
        <f>'QUADRO SÍNTESE'!R6</f>
        <v>728.06360000000006</v>
      </c>
      <c r="O6" s="616">
        <f>'QUADRO SÍNTESE'!S6</f>
        <v>6.0777076568787287E-2</v>
      </c>
      <c r="P6" s="616"/>
      <c r="Q6" s="616"/>
      <c r="R6" s="616"/>
      <c r="S6" s="336">
        <f>'PART-OCC-UNIR'!S44</f>
        <v>0.11716170364036917</v>
      </c>
      <c r="T6" s="337">
        <f>'PART-OCC-UNIR'!S45</f>
        <v>6.6415539275945484E-2</v>
      </c>
      <c r="U6" s="338">
        <f>C44</f>
        <v>0.110734845919404</v>
      </c>
      <c r="V6" s="337">
        <f>T6*U6</f>
        <v>7.3545145083759476E-3</v>
      </c>
      <c r="W6" s="343">
        <f>U6*X23</f>
        <v>208830.36860141883</v>
      </c>
      <c r="X6" s="60">
        <f>T6*W23</f>
        <v>1284552.2720550704</v>
      </c>
      <c r="Y6" s="60">
        <f>SUM(W6:X6)</f>
        <v>1493382.6406564892</v>
      </c>
    </row>
    <row r="7" spans="1:25" x14ac:dyDescent="0.2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"/>
      <c r="O7" s="3"/>
      <c r="P7" s="3"/>
      <c r="Q7" s="3"/>
      <c r="R7" s="3"/>
      <c r="S7" s="13"/>
      <c r="T7" s="13"/>
      <c r="U7" s="341"/>
      <c r="V7" s="341"/>
      <c r="W7" s="342"/>
      <c r="Y7" s="60"/>
    </row>
    <row r="8" spans="1:25" ht="13.5" customHeight="1" x14ac:dyDescent="0.2">
      <c r="A8" s="466" t="s">
        <v>357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335">
        <f>'QUADRO SÍNTESE'!R8</f>
        <v>1273.0041500000002</v>
      </c>
      <c r="O8" s="616">
        <f>'QUADRO SÍNTESE'!S8</f>
        <v>0.10626746165710521</v>
      </c>
      <c r="P8" s="616"/>
      <c r="Q8" s="616"/>
      <c r="R8" s="616"/>
      <c r="S8" s="336">
        <f>'PART-OCC-UNIR'!S71</f>
        <v>0.1272720852399451</v>
      </c>
      <c r="T8" s="337">
        <f>'PART-OCC-UNIR'!S72</f>
        <v>0.10836792401538919</v>
      </c>
      <c r="U8" s="338">
        <f>C45</f>
        <v>0.12529630883846934</v>
      </c>
      <c r="V8" s="337">
        <f>T8*U8</f>
        <v>1.3578100875615983E-2</v>
      </c>
      <c r="W8" s="343">
        <f>U8*X23</f>
        <v>236291.24276001516</v>
      </c>
      <c r="X8" s="60">
        <f>T8*W23</f>
        <v>2095959.2367907898</v>
      </c>
      <c r="Y8" s="60">
        <f>SUM(W8:X8)</f>
        <v>2332250.4795508049</v>
      </c>
    </row>
    <row r="9" spans="1:25" x14ac:dyDescent="0.2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"/>
      <c r="O9" s="3"/>
      <c r="P9" s="3"/>
      <c r="Q9" s="3"/>
      <c r="R9" s="3"/>
      <c r="S9" s="13"/>
      <c r="T9" s="13"/>
      <c r="U9" s="341"/>
      <c r="V9" s="344"/>
      <c r="W9" s="342"/>
      <c r="Y9" s="60"/>
    </row>
    <row r="10" spans="1:25" ht="13.5" customHeight="1" x14ac:dyDescent="0.2">
      <c r="A10" s="466" t="s">
        <v>358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335">
        <f>'QUADRO SÍNTESE'!R10</f>
        <v>1947.7775000000001</v>
      </c>
      <c r="O10" s="616">
        <f>'QUADRO SÍNTESE'!S10</f>
        <v>0.162595990592664</v>
      </c>
      <c r="P10" s="616"/>
      <c r="Q10" s="616"/>
      <c r="R10" s="616"/>
      <c r="S10" s="336">
        <f>'PART-OCC-UNIR'!S91</f>
        <v>0.14644248577864696</v>
      </c>
      <c r="T10" s="337">
        <f>'PART-OCC-UNIR'!S92</f>
        <v>0.16098064011126231</v>
      </c>
      <c r="U10" s="338">
        <f>C47</f>
        <v>0.16153064679986454</v>
      </c>
      <c r="V10" s="337">
        <f>T10*U10</f>
        <v>2.6003306919428419E-2</v>
      </c>
      <c r="W10" s="343">
        <f>U10*X23</f>
        <v>304624.11566628981</v>
      </c>
      <c r="X10" s="60">
        <f>T10*W23</f>
        <v>3113549.1673512096</v>
      </c>
      <c r="Y10" s="60">
        <f>SUM(W10:X10)</f>
        <v>3418173.2830174994</v>
      </c>
    </row>
    <row r="11" spans="1:25" x14ac:dyDescent="0.2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"/>
      <c r="O11" s="3"/>
      <c r="P11" s="3"/>
      <c r="Q11" s="3"/>
      <c r="R11" s="3"/>
      <c r="S11" s="13"/>
      <c r="T11" s="13"/>
      <c r="U11" s="341"/>
      <c r="V11" s="344"/>
      <c r="W11" s="342"/>
      <c r="Y11" s="60"/>
    </row>
    <row r="12" spans="1:25" ht="13.5" customHeight="1" x14ac:dyDescent="0.2">
      <c r="A12" s="466" t="s">
        <v>359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335">
        <f>'QUADRO SÍNTESE'!R12</f>
        <v>883.4353000000001</v>
      </c>
      <c r="O12" s="616">
        <f>'QUADRO SÍNTESE'!S12</f>
        <v>7.3747149111244636E-2</v>
      </c>
      <c r="P12" s="616"/>
      <c r="Q12" s="616"/>
      <c r="R12" s="616"/>
      <c r="S12" s="336">
        <f>'PART-OCC-UNIR'!S120</f>
        <v>0.1044178380512804</v>
      </c>
      <c r="T12" s="337">
        <f>'PART-OCC-UNIR'!S121</f>
        <v>7.6814218005248222E-2</v>
      </c>
      <c r="U12" s="338">
        <f>C49</f>
        <v>0.23670843210294615</v>
      </c>
      <c r="V12" s="337">
        <f>T12*U12</f>
        <v>1.8182573107236203E-2</v>
      </c>
      <c r="W12" s="343">
        <f>U12*X23</f>
        <v>446398.86132229894</v>
      </c>
      <c r="X12" s="60">
        <f>T12*W23</f>
        <v>1485674.5776739072</v>
      </c>
      <c r="Y12" s="60">
        <f>SUM(W12:X12)</f>
        <v>1932073.438996206</v>
      </c>
    </row>
    <row r="13" spans="1:25" x14ac:dyDescent="0.2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"/>
      <c r="O13" s="3"/>
      <c r="P13" s="3"/>
      <c r="Q13" s="3"/>
      <c r="R13" s="3"/>
      <c r="S13" s="13"/>
      <c r="T13" s="13"/>
      <c r="U13" s="341"/>
      <c r="V13" s="344"/>
      <c r="W13" s="342"/>
      <c r="Y13" s="60"/>
    </row>
    <row r="14" spans="1:25" ht="13.5" customHeight="1" x14ac:dyDescent="0.2">
      <c r="A14" s="466" t="s">
        <v>360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335">
        <f>'QUADRO SÍNTESE'!R14</f>
        <v>329.67</v>
      </c>
      <c r="O14" s="616">
        <f>'QUADRO SÍNTESE'!S14</f>
        <v>2.7520094168190946E-2</v>
      </c>
      <c r="P14" s="616"/>
      <c r="Q14" s="616"/>
      <c r="R14" s="616"/>
      <c r="S14" s="336">
        <f>'PART-OCC-UNIR'!S138</f>
        <v>9.5563641016747206E-2</v>
      </c>
      <c r="T14" s="337">
        <f>'PART-OCC-UNIR'!S139</f>
        <v>3.4324448853046571E-2</v>
      </c>
      <c r="U14" s="338">
        <f>C43</f>
        <v>6.7389095834744325E-2</v>
      </c>
      <c r="V14" s="337">
        <f>T14*U14</f>
        <v>2.3130935732327352E-3</v>
      </c>
      <c r="W14" s="343">
        <f>U14*X23</f>
        <v>127086.37110606222</v>
      </c>
      <c r="X14" s="60">
        <f>T14*W23</f>
        <v>663873.98554464791</v>
      </c>
      <c r="Y14" s="60">
        <f>SUM(W14:X14)</f>
        <v>790960.35665071011</v>
      </c>
    </row>
    <row r="15" spans="1:25" x14ac:dyDescent="0.2">
      <c r="A15" s="623"/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13"/>
      <c r="T15" s="13"/>
      <c r="U15" s="341"/>
      <c r="V15" s="344"/>
      <c r="W15" s="342"/>
      <c r="Y15" s="60"/>
    </row>
    <row r="16" spans="1:25" ht="13.5" customHeight="1" x14ac:dyDescent="0.2">
      <c r="A16" s="620" t="s">
        <v>361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345">
        <f>'QUADRO SÍNTESE'!R16</f>
        <v>304.70000000000005</v>
      </c>
      <c r="O16" s="616">
        <f>'QUADRO SÍNTESE'!S16</f>
        <v>2.5435655937900876E-2</v>
      </c>
      <c r="P16" s="616"/>
      <c r="Q16" s="616"/>
      <c r="R16" s="616"/>
      <c r="S16" s="336">
        <f>'PART-OCC-UNIR'!S152</f>
        <v>0.11971536277610569</v>
      </c>
      <c r="T16" s="337">
        <f>'PART-OCC-UNIR'!S153</f>
        <v>3.4863626621721357E-2</v>
      </c>
      <c r="U16" s="338">
        <f>C46</f>
        <v>0.13714866237724349</v>
      </c>
      <c r="V16" s="337">
        <f>T16*U16</f>
        <v>4.78149975678874E-3</v>
      </c>
      <c r="W16" s="343">
        <f>U16*X23</f>
        <v>258643.11707515176</v>
      </c>
      <c r="X16" s="60">
        <f>T16*W23</f>
        <v>674302.29848682147</v>
      </c>
      <c r="Y16" s="60">
        <f>SUM(W16:X16)</f>
        <v>932945.41556197323</v>
      </c>
    </row>
    <row r="17" spans="1:2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341"/>
      <c r="V17" s="344"/>
      <c r="W17" s="342"/>
      <c r="Y17" s="60"/>
    </row>
    <row r="18" spans="1:25" ht="13.5" customHeight="1" x14ac:dyDescent="0.2">
      <c r="A18" s="466" t="s">
        <v>362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335">
        <f>'QUADRO SÍNTESE'!R18</f>
        <v>5359.482</v>
      </c>
      <c r="O18" s="616">
        <f>'QUADRO SÍNTESE'!S18</f>
        <v>0.48037093617605409</v>
      </c>
      <c r="P18" s="616"/>
      <c r="Q18" s="616"/>
      <c r="R18" s="616"/>
      <c r="S18" s="336">
        <f>'PART-OCC-UNIR'!S201</f>
        <v>0.17219217996123876</v>
      </c>
      <c r="T18" s="337">
        <f>'PART-OCC-UNIR'!S202</f>
        <v>0.41987673733198061</v>
      </c>
      <c r="U18" s="338">
        <f>C42</f>
        <v>0</v>
      </c>
      <c r="V18" s="337">
        <f>T18*U18</f>
        <v>0</v>
      </c>
      <c r="W18" s="343">
        <f>U18*X23</f>
        <v>0</v>
      </c>
      <c r="X18" s="60">
        <f>T18*W23</f>
        <v>8120894.9411965385</v>
      </c>
      <c r="Y18" s="60">
        <f>SUM(W18:X18)</f>
        <v>8120894.9411965385</v>
      </c>
    </row>
    <row r="19" spans="1:2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346">
        <f>T4+T6+T8+T10+T12+T14+T16+T18</f>
        <v>1.0048083156613821</v>
      </c>
      <c r="U19" s="13"/>
      <c r="V19" s="346">
        <f>(V4+V6+V8+V10+V12+V14+V16+V18)</f>
        <v>8.8842491506906027E-2</v>
      </c>
      <c r="W19" s="342"/>
      <c r="Y19" s="60">
        <f>SUM(Y4:Y18)</f>
        <v>21319998.308451943</v>
      </c>
    </row>
    <row r="20" spans="1:25" x14ac:dyDescent="0.2">
      <c r="A20" s="621" t="s">
        <v>250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2">
        <f>'PART-OCC-UNIR'!S221</f>
        <v>11584.246799999999</v>
      </c>
      <c r="O20" s="622"/>
      <c r="P20" s="622"/>
      <c r="Q20" s="622"/>
      <c r="R20" s="622"/>
      <c r="S20" s="12"/>
      <c r="T20" s="13"/>
      <c r="U20" s="13"/>
      <c r="V20" s="13"/>
      <c r="W20" s="342"/>
      <c r="Y20" s="60"/>
    </row>
    <row r="21" spans="1:25" ht="13.5" customHeight="1" x14ac:dyDescent="0.2">
      <c r="A21" s="618" t="s">
        <v>251</v>
      </c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9">
        <f>'QUADRO SÍNTESE'!R21</f>
        <v>395</v>
      </c>
      <c r="O21" s="619"/>
      <c r="P21" s="619"/>
      <c r="Q21" s="619"/>
      <c r="R21" s="619"/>
      <c r="S21" s="13"/>
      <c r="T21" s="12"/>
      <c r="U21" s="12"/>
      <c r="V21" s="12"/>
      <c r="W21" s="342"/>
    </row>
    <row r="22" spans="1:25" ht="13.5" customHeight="1" x14ac:dyDescent="0.2">
      <c r="A22" s="500" t="s">
        <v>373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24">
        <f>SUM(N20:R21)</f>
        <v>11979.246799999999</v>
      </c>
      <c r="O22" s="524"/>
      <c r="P22" s="524"/>
      <c r="Q22" s="524"/>
      <c r="R22" s="524"/>
      <c r="S22" s="13"/>
      <c r="T22" s="13"/>
      <c r="U22" s="13"/>
      <c r="V22" s="13"/>
      <c r="W22" s="342"/>
    </row>
    <row r="23" spans="1:25" x14ac:dyDescent="0.2">
      <c r="A23" s="462" t="s">
        <v>364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347">
        <f>21227000-X23</f>
        <v>19341140.432782907</v>
      </c>
      <c r="X23" s="61">
        <f>V19*21227000</f>
        <v>1885859.5672170941</v>
      </c>
    </row>
    <row r="24" spans="1:2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48"/>
    </row>
    <row r="25" spans="1:25" ht="12.75" customHeight="1" x14ac:dyDescent="0.2">
      <c r="A25" s="587" t="s">
        <v>365</v>
      </c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349"/>
      <c r="Y25" s="350"/>
    </row>
    <row r="26" spans="1:25" ht="13.5" customHeight="1" x14ac:dyDescent="0.2">
      <c r="A26" s="587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349"/>
      <c r="Y26" s="350"/>
    </row>
    <row r="27" spans="1:25" ht="16.5" customHeight="1" x14ac:dyDescent="0.2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617" t="s">
        <v>369</v>
      </c>
      <c r="P27" s="617"/>
      <c r="Q27" s="617"/>
      <c r="R27" s="617"/>
      <c r="S27" s="351" t="s">
        <v>350</v>
      </c>
      <c r="T27" s="352" t="s">
        <v>351</v>
      </c>
      <c r="U27" s="353"/>
      <c r="V27" s="334" t="s">
        <v>371</v>
      </c>
      <c r="W27" s="354" t="s">
        <v>372</v>
      </c>
    </row>
    <row r="28" spans="1:25" ht="13.5" customHeight="1" x14ac:dyDescent="0.2">
      <c r="A28" s="466" t="s">
        <v>169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335">
        <f>'PART-OCC-NÚCLEOS-PVH'!S12</f>
        <v>1014.921</v>
      </c>
      <c r="O28" s="616">
        <f>'PART-OCC-NÚCLEOS-PVH'!S18</f>
        <v>0.19330623933277868</v>
      </c>
      <c r="P28" s="616"/>
      <c r="Q28" s="616"/>
      <c r="R28" s="616"/>
      <c r="S28" s="336">
        <f>'PART-OCC-NÚCLEOS-PVH'!S19</f>
        <v>0.19053898768067867</v>
      </c>
      <c r="T28" s="337">
        <f>'PART-OCC-NÚCLEOS-PVH'!S20</f>
        <v>0.19302951416756869</v>
      </c>
      <c r="U28" s="355">
        <v>0</v>
      </c>
      <c r="V28" s="337">
        <f>T28*U28</f>
        <v>0</v>
      </c>
      <c r="W28" s="343">
        <f>T28*W37</f>
        <v>1567572.4051050341</v>
      </c>
    </row>
    <row r="29" spans="1: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3"/>
      <c r="T29" s="13"/>
      <c r="U29" s="356"/>
      <c r="V29" s="356"/>
      <c r="W29" s="342"/>
    </row>
    <row r="30" spans="1:25" ht="13.5" customHeight="1" x14ac:dyDescent="0.2">
      <c r="A30" s="466" t="s">
        <v>179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335">
        <f>'PART-OCC-NÚCLEOS-PVH'!S25</f>
        <v>634.38499999999999</v>
      </c>
      <c r="O30" s="616">
        <f>'PART-OCC-NÚCLEOS-PVH'!S31</f>
        <v>0.12011759836375664</v>
      </c>
      <c r="P30" s="616"/>
      <c r="Q30" s="616"/>
      <c r="R30" s="616"/>
      <c r="S30" s="336">
        <f>'PART-OCC-NÚCLEOS-PVH'!S32</f>
        <v>0.21765334499215239</v>
      </c>
      <c r="T30" s="337">
        <f>'PART-OCC-NÚCLEOS-PVH'!S33</f>
        <v>0.12987117302659623</v>
      </c>
      <c r="U30" s="355">
        <v>0</v>
      </c>
      <c r="V30" s="337">
        <f>T30*U30</f>
        <v>0</v>
      </c>
      <c r="W30" s="343">
        <f>T30*W37</f>
        <v>1054670.1520389456</v>
      </c>
    </row>
    <row r="31" spans="1: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3"/>
      <c r="T31" s="13"/>
      <c r="U31" s="356"/>
      <c r="V31" s="356"/>
      <c r="W31" s="342"/>
    </row>
    <row r="32" spans="1:25" ht="13.5" customHeight="1" x14ac:dyDescent="0.2">
      <c r="A32" s="466" t="s">
        <v>186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335">
        <f>'PART-OCC-NÚCLEOS-PVH'!S40</f>
        <v>672.54499999999996</v>
      </c>
      <c r="O32" s="616">
        <f>'PART-OCC-NÚCLEOS-PVH'!S46</f>
        <v>0.15612343473260515</v>
      </c>
      <c r="P32" s="616"/>
      <c r="Q32" s="616"/>
      <c r="R32" s="616"/>
      <c r="S32" s="336">
        <f>'PART-OCC-NÚCLEOS-PVH'!S47</f>
        <v>0.25353096643949691</v>
      </c>
      <c r="T32" s="337">
        <f>'PART-OCC-NÚCLEOS-PVH'!S48</f>
        <v>0.16586418790329432</v>
      </c>
      <c r="U32" s="355">
        <v>0</v>
      </c>
      <c r="V32" s="337">
        <f>T32*U32</f>
        <v>0</v>
      </c>
      <c r="W32" s="343">
        <f>T32*W37</f>
        <v>1346965.644469535</v>
      </c>
    </row>
    <row r="33" spans="1:2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3"/>
      <c r="T33" s="13"/>
      <c r="U33" s="356"/>
      <c r="V33" s="356"/>
      <c r="W33" s="342"/>
    </row>
    <row r="34" spans="1:23" ht="13.5" customHeight="1" x14ac:dyDescent="0.2">
      <c r="A34" s="466" t="s">
        <v>197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335">
        <f>'PART-OCC-NÚCLEOS-PVH'!S61</f>
        <v>887.74</v>
      </c>
      <c r="O34" s="616">
        <f>'PART-OCC-NÚCLEOS-PVH'!S67</f>
        <v>0.19440803761754061</v>
      </c>
      <c r="P34" s="616"/>
      <c r="Q34" s="616"/>
      <c r="R34" s="616"/>
      <c r="S34" s="336">
        <f>'PART-OCC-NÚCLEOS-PVH'!S68</f>
        <v>0.1023505225359245</v>
      </c>
      <c r="T34" s="337">
        <f>'PART-OCC-NÚCLEOS-PVH'!S69</f>
        <v>0.185202286109379</v>
      </c>
      <c r="U34" s="355">
        <v>0</v>
      </c>
      <c r="V34" s="337">
        <f>T34*U34</f>
        <v>0</v>
      </c>
      <c r="W34" s="343">
        <f>T34*W37</f>
        <v>1504008.3083636898</v>
      </c>
    </row>
    <row r="35" spans="1:2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3"/>
      <c r="T35" s="13"/>
      <c r="U35" s="356"/>
      <c r="V35" s="356"/>
      <c r="W35" s="342"/>
    </row>
    <row r="36" spans="1:23" ht="13.5" customHeight="1" x14ac:dyDescent="0.2">
      <c r="A36" s="466" t="s">
        <v>215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335">
        <f>'PART-OCC-NÚCLEOS-PVH'!S75</f>
        <v>1676.7749999999999</v>
      </c>
      <c r="O36" s="616">
        <f>'PART-OCC-NÚCLEOS-PVH'!S81</f>
        <v>0.32089709366856983</v>
      </c>
      <c r="P36" s="616"/>
      <c r="Q36" s="616"/>
      <c r="R36" s="616"/>
      <c r="S36" s="336">
        <f>'PART-OCC-NÚCLEOS-PVH'!S82</f>
        <v>0.23592617835174753</v>
      </c>
      <c r="T36" s="337">
        <f>'PART-OCC-NÚCLEOS-PVH'!S83</f>
        <v>0.31240000213688762</v>
      </c>
      <c r="U36" s="355">
        <v>0</v>
      </c>
      <c r="V36" s="337">
        <f>T36*U36</f>
        <v>0</v>
      </c>
      <c r="W36" s="343">
        <f>T36*W37</f>
        <v>2536967.5969832386</v>
      </c>
    </row>
    <row r="37" spans="1:23" x14ac:dyDescent="0.2">
      <c r="A37" s="613" t="s">
        <v>367</v>
      </c>
      <c r="B37" s="613"/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357">
        <f>X18</f>
        <v>8120894.9411965385</v>
      </c>
    </row>
    <row r="38" spans="1:23" x14ac:dyDescent="0.2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9"/>
    </row>
    <row r="40" spans="1:23" x14ac:dyDescent="0.2">
      <c r="A40" s="611" t="s">
        <v>374</v>
      </c>
      <c r="B40" s="611"/>
      <c r="C40" s="611"/>
      <c r="D40" s="611"/>
      <c r="E40" s="360"/>
    </row>
    <row r="41" spans="1:23" x14ac:dyDescent="0.2">
      <c r="A41" s="614" t="s">
        <v>375</v>
      </c>
      <c r="B41" s="614"/>
      <c r="C41" s="361" t="s">
        <v>376</v>
      </c>
      <c r="D41" s="362" t="s">
        <v>377</v>
      </c>
      <c r="E41" s="360"/>
    </row>
    <row r="42" spans="1:23" x14ac:dyDescent="0.2">
      <c r="A42" s="615" t="s">
        <v>378</v>
      </c>
      <c r="B42" s="615"/>
      <c r="C42" s="363">
        <f>(D42/D50)</f>
        <v>0</v>
      </c>
      <c r="D42" s="364">
        <v>0</v>
      </c>
      <c r="E42" s="324"/>
      <c r="F42" s="365"/>
      <c r="O42" s="60">
        <f>C42*X23</f>
        <v>0</v>
      </c>
    </row>
    <row r="43" spans="1:23" x14ac:dyDescent="0.2">
      <c r="A43" s="612" t="s">
        <v>379</v>
      </c>
      <c r="B43" s="612"/>
      <c r="C43" s="366">
        <f>(D43/D50)</f>
        <v>6.7389095834744325E-2</v>
      </c>
      <c r="D43" s="367">
        <v>199</v>
      </c>
      <c r="E43" s="324"/>
      <c r="F43" s="365"/>
      <c r="O43" s="60">
        <f>C43*X23</f>
        <v>127086.37110606222</v>
      </c>
    </row>
    <row r="44" spans="1:23" x14ac:dyDescent="0.2">
      <c r="A44" s="612" t="s">
        <v>380</v>
      </c>
      <c r="B44" s="612"/>
      <c r="C44" s="366">
        <f>(D44/D50)</f>
        <v>0.110734845919404</v>
      </c>
      <c r="D44" s="367">
        <v>327</v>
      </c>
      <c r="E44" s="324"/>
      <c r="F44" s="365"/>
      <c r="H44" s="368"/>
      <c r="O44" s="60">
        <f>C44*X23</f>
        <v>208830.36860141883</v>
      </c>
    </row>
    <row r="45" spans="1:23" x14ac:dyDescent="0.2">
      <c r="A45" s="612" t="s">
        <v>381</v>
      </c>
      <c r="B45" s="612"/>
      <c r="C45" s="366">
        <f>(D45/D50)</f>
        <v>0.12529630883846934</v>
      </c>
      <c r="D45" s="367">
        <v>370</v>
      </c>
      <c r="E45" s="324"/>
      <c r="F45" s="365"/>
      <c r="O45" s="60">
        <f>C45*X23</f>
        <v>236291.24276001516</v>
      </c>
    </row>
    <row r="46" spans="1:23" x14ac:dyDescent="0.2">
      <c r="A46" s="612" t="s">
        <v>382</v>
      </c>
      <c r="B46" s="612"/>
      <c r="C46" s="366">
        <f>(D46/D50)</f>
        <v>0.13714866237724349</v>
      </c>
      <c r="D46" s="367">
        <v>405</v>
      </c>
      <c r="E46" s="324"/>
      <c r="F46" s="365"/>
      <c r="O46" s="60">
        <f>C46*X23</f>
        <v>258643.11707515176</v>
      </c>
    </row>
    <row r="47" spans="1:23" x14ac:dyDescent="0.2">
      <c r="A47" s="612" t="s">
        <v>383</v>
      </c>
      <c r="B47" s="612"/>
      <c r="C47" s="366">
        <f>(D47/D50)</f>
        <v>0.16153064679986454</v>
      </c>
      <c r="D47" s="367">
        <v>477</v>
      </c>
      <c r="E47" s="324"/>
      <c r="F47" s="365"/>
      <c r="O47" s="60">
        <f>C47*X23</f>
        <v>304624.11566628981</v>
      </c>
    </row>
    <row r="48" spans="1:23" x14ac:dyDescent="0.2">
      <c r="A48" s="612" t="s">
        <v>384</v>
      </c>
      <c r="B48" s="612"/>
      <c r="C48" s="366">
        <f>(D48/D50)</f>
        <v>0.16119200812732815</v>
      </c>
      <c r="D48" s="367">
        <v>476</v>
      </c>
      <c r="E48" s="324"/>
      <c r="F48" s="365"/>
      <c r="O48" s="60">
        <f>C48*X23</f>
        <v>303985.49068585737</v>
      </c>
    </row>
    <row r="49" spans="1:15" x14ac:dyDescent="0.2">
      <c r="A49" s="610" t="s">
        <v>385</v>
      </c>
      <c r="B49" s="610"/>
      <c r="C49" s="369">
        <f>(D49/D50)</f>
        <v>0.23670843210294615</v>
      </c>
      <c r="D49" s="370">
        <v>699</v>
      </c>
      <c r="E49" s="324"/>
      <c r="F49" s="365"/>
      <c r="O49" s="60">
        <f>C49*X23</f>
        <v>446398.86132229894</v>
      </c>
    </row>
    <row r="50" spans="1:15" x14ac:dyDescent="0.2">
      <c r="A50" s="611" t="s">
        <v>386</v>
      </c>
      <c r="B50" s="611"/>
      <c r="C50" s="611"/>
      <c r="D50" s="371">
        <f>SUM(D42:D49)</f>
        <v>2953</v>
      </c>
      <c r="F50" s="365"/>
      <c r="O50" s="60">
        <f>SUM(O43:O49)</f>
        <v>1885859.5672170941</v>
      </c>
    </row>
    <row r="51" spans="1:15" x14ac:dyDescent="0.2">
      <c r="A51" t="s">
        <v>387</v>
      </c>
    </row>
    <row r="55" spans="1:15" x14ac:dyDescent="0.2">
      <c r="B55" s="372" t="s">
        <v>355</v>
      </c>
      <c r="C55" s="372" t="s">
        <v>388</v>
      </c>
      <c r="D55" s="372" t="s">
        <v>389</v>
      </c>
      <c r="E55" s="372" t="s">
        <v>358</v>
      </c>
      <c r="F55" s="372" t="s">
        <v>359</v>
      </c>
      <c r="G55" s="372" t="s">
        <v>360</v>
      </c>
      <c r="H55" s="372" t="s">
        <v>361</v>
      </c>
      <c r="I55" s="372" t="s">
        <v>362</v>
      </c>
    </row>
    <row r="56" spans="1:15" x14ac:dyDescent="0.2">
      <c r="A56" s="372" t="s">
        <v>390</v>
      </c>
      <c r="B56" s="373">
        <f>O4</f>
        <v>0.10160190121469076</v>
      </c>
      <c r="C56" s="373">
        <f>O6</f>
        <v>6.0777076568787287E-2</v>
      </c>
      <c r="D56" s="373">
        <f>O8</f>
        <v>0.10626746165710521</v>
      </c>
      <c r="E56" s="373">
        <f>O10</f>
        <v>0.162595990592664</v>
      </c>
      <c r="F56" s="373">
        <f>O12</f>
        <v>7.3747149111244636E-2</v>
      </c>
      <c r="G56" s="373">
        <f>O14</f>
        <v>2.7520094168190946E-2</v>
      </c>
      <c r="H56" s="373">
        <f>O16</f>
        <v>2.5435655937900876E-2</v>
      </c>
      <c r="I56" s="373">
        <f>O18</f>
        <v>0.48037093617605409</v>
      </c>
    </row>
    <row r="57" spans="1:15" x14ac:dyDescent="0.2">
      <c r="A57" s="372" t="s">
        <v>350</v>
      </c>
      <c r="B57" s="373">
        <f>S4</f>
        <v>0.11723470353566658</v>
      </c>
      <c r="C57" s="373">
        <f>S6</f>
        <v>0.11716170364036917</v>
      </c>
      <c r="D57" s="373">
        <f>S8</f>
        <v>0.1272720852399451</v>
      </c>
      <c r="E57" s="373">
        <f>S10</f>
        <v>0.14644248577864696</v>
      </c>
      <c r="F57" s="373">
        <f>S12</f>
        <v>0.1044178380512804</v>
      </c>
      <c r="G57" s="373">
        <f>S14</f>
        <v>9.5563641016747206E-2</v>
      </c>
      <c r="H57" s="373">
        <f>S16</f>
        <v>0.11971536277610569</v>
      </c>
      <c r="I57" s="373">
        <f>S18</f>
        <v>0.17219217996123876</v>
      </c>
    </row>
    <row r="58" spans="1:15" x14ac:dyDescent="0.2">
      <c r="A58" s="372" t="s">
        <v>351</v>
      </c>
      <c r="B58" s="373">
        <f>T4</f>
        <v>0.10316518144678835</v>
      </c>
      <c r="C58" s="373">
        <f>T6</f>
        <v>6.6415539275945484E-2</v>
      </c>
      <c r="D58" s="373">
        <f>T8</f>
        <v>0.10836792401538919</v>
      </c>
      <c r="E58" s="373">
        <f>T10</f>
        <v>0.16098064011126231</v>
      </c>
      <c r="F58" s="373">
        <f>T12</f>
        <v>7.6814218005248222E-2</v>
      </c>
      <c r="G58" s="373">
        <f>T14</f>
        <v>3.4324448853046571E-2</v>
      </c>
      <c r="H58" s="373">
        <f>T16</f>
        <v>3.4863626621721357E-2</v>
      </c>
      <c r="I58" s="373">
        <f>T18</f>
        <v>0.41987673733198061</v>
      </c>
    </row>
    <row r="61" spans="1:15" x14ac:dyDescent="0.2">
      <c r="B61" s="372" t="s">
        <v>362</v>
      </c>
    </row>
    <row r="62" spans="1:15" x14ac:dyDescent="0.2">
      <c r="B62" s="372" t="s">
        <v>391</v>
      </c>
      <c r="C62" s="372" t="s">
        <v>392</v>
      </c>
      <c r="D62" s="372" t="s">
        <v>393</v>
      </c>
      <c r="E62" s="372" t="s">
        <v>394</v>
      </c>
      <c r="F62" s="372" t="s">
        <v>395</v>
      </c>
    </row>
    <row r="63" spans="1:15" x14ac:dyDescent="0.2">
      <c r="A63" s="372" t="s">
        <v>390</v>
      </c>
      <c r="B63" s="373">
        <f>O28</f>
        <v>0.19330623933277868</v>
      </c>
      <c r="C63" s="373">
        <f>O30</f>
        <v>0.12011759836375664</v>
      </c>
      <c r="D63" s="373">
        <f>O32</f>
        <v>0.15612343473260515</v>
      </c>
      <c r="E63" s="373">
        <f>O34</f>
        <v>0.19440803761754061</v>
      </c>
      <c r="F63" s="373">
        <f>O36</f>
        <v>0.32089709366856983</v>
      </c>
    </row>
    <row r="64" spans="1:15" x14ac:dyDescent="0.2">
      <c r="A64" s="372" t="s">
        <v>350</v>
      </c>
      <c r="B64" s="373">
        <f>S28</f>
        <v>0.19053898768067867</v>
      </c>
      <c r="C64" s="373">
        <f>S30</f>
        <v>0.21765334499215239</v>
      </c>
      <c r="D64" s="373">
        <f>S32</f>
        <v>0.25353096643949691</v>
      </c>
      <c r="E64" s="373">
        <f>S34</f>
        <v>0.1023505225359245</v>
      </c>
      <c r="F64" s="373">
        <f>S36</f>
        <v>0.23592617835174753</v>
      </c>
    </row>
    <row r="65" spans="1:6" x14ac:dyDescent="0.2">
      <c r="A65" s="372" t="s">
        <v>351</v>
      </c>
      <c r="B65" s="373">
        <f>T28</f>
        <v>0.19302951416756869</v>
      </c>
      <c r="C65" s="373">
        <f>T30</f>
        <v>0.12987117302659623</v>
      </c>
      <c r="D65" s="373">
        <f>T32</f>
        <v>0.16586418790329432</v>
      </c>
      <c r="E65" s="373">
        <f>T34</f>
        <v>0.185202286109379</v>
      </c>
      <c r="F65" s="373">
        <f>T36</f>
        <v>0.31240000213688762</v>
      </c>
    </row>
  </sheetData>
  <mergeCells count="51">
    <mergeCell ref="A1:W2"/>
    <mergeCell ref="A3:M3"/>
    <mergeCell ref="O3:R3"/>
    <mergeCell ref="A4:M4"/>
    <mergeCell ref="O4:R4"/>
    <mergeCell ref="A6:M6"/>
    <mergeCell ref="O6:R6"/>
    <mergeCell ref="A8:M8"/>
    <mergeCell ref="O8:R8"/>
    <mergeCell ref="A10:M10"/>
    <mergeCell ref="O10:R10"/>
    <mergeCell ref="A12:M12"/>
    <mergeCell ref="O12:R12"/>
    <mergeCell ref="A14:M14"/>
    <mergeCell ref="O14:R14"/>
    <mergeCell ref="A15:R15"/>
    <mergeCell ref="A16:M16"/>
    <mergeCell ref="O16:R16"/>
    <mergeCell ref="A18:M18"/>
    <mergeCell ref="O18:R18"/>
    <mergeCell ref="A20:M20"/>
    <mergeCell ref="N20:R20"/>
    <mergeCell ref="A21:M21"/>
    <mergeCell ref="N21:R21"/>
    <mergeCell ref="A22:M22"/>
    <mergeCell ref="N22:R22"/>
    <mergeCell ref="A23:V23"/>
    <mergeCell ref="A25:W26"/>
    <mergeCell ref="O27:R27"/>
    <mergeCell ref="A28:M28"/>
    <mergeCell ref="O28:R28"/>
    <mergeCell ref="A30:M30"/>
    <mergeCell ref="O30:R30"/>
    <mergeCell ref="A32:M32"/>
    <mergeCell ref="O32:R32"/>
    <mergeCell ref="A34:M34"/>
    <mergeCell ref="O34:R34"/>
    <mergeCell ref="A36:M36"/>
    <mergeCell ref="O36:R36"/>
    <mergeCell ref="A37:V37"/>
    <mergeCell ref="A40:D40"/>
    <mergeCell ref="A41:B41"/>
    <mergeCell ref="A42:B42"/>
    <mergeCell ref="A43:B43"/>
    <mergeCell ref="A49:B49"/>
    <mergeCell ref="A50:C50"/>
    <mergeCell ref="A44:B44"/>
    <mergeCell ref="A45:B45"/>
    <mergeCell ref="A46:B46"/>
    <mergeCell ref="A47:B47"/>
    <mergeCell ref="A48:B48"/>
  </mergeCells>
  <pageMargins left="0.78749999999999998" right="0.78749999999999998" top="0.98402777777777795" bottom="0.98402777777777795" header="0.51180555555555496" footer="0.51180555555555496"/>
  <pageSetup paperSize="9" firstPageNumber="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PART-OCC-UNIR</vt:lpstr>
      <vt:lpstr>TAEj</vt:lpstr>
      <vt:lpstr>PART-OCC-NÚCLEOS-PVH</vt:lpstr>
      <vt:lpstr>QUADRO SÍNTESE</vt:lpstr>
      <vt:lpstr>%_TAEu+EQR+PART_POR_CAMPUS</vt:lpstr>
      <vt:lpstr>%_TAEu+EQR+PART_POR_NÚCLEO</vt:lpstr>
      <vt:lpstr>%_POR_CAMPUS</vt:lpstr>
      <vt:lpstr>%_POR_NÚCLEO</vt:lpstr>
      <vt:lpstr>Q. SÍNTESE COM FATOR DE COR.</vt:lpstr>
      <vt:lpstr>Plan1</vt:lpstr>
      <vt:lpstr>'QUADRO SÍNTESE'!Area_de_impressao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UNIR</cp:lastModifiedBy>
  <cp:revision>0</cp:revision>
  <cp:lastPrinted>2015-05-07T19:09:57Z</cp:lastPrinted>
  <dcterms:created xsi:type="dcterms:W3CDTF">2013-09-05T18:49:16Z</dcterms:created>
  <dcterms:modified xsi:type="dcterms:W3CDTF">2015-12-18T21:46:59Z</dcterms:modified>
  <dc:language>pt-BR</dc:language>
</cp:coreProperties>
</file>